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ccc-data-01\data\MCU\LCCC\CORPORATE COMMUNICATIONS\Finance &amp; Corporate Services\Corp Comms &amp; Administration\Projects\Elections 2023\Website\Lisburn South\"/>
    </mc:Choice>
  </mc:AlternateContent>
  <bookViews>
    <workbookView xWindow="-110" yWindow="-110" windowWidth="23260" windowHeight="12580" tabRatio="836" firstSheet="6" activeTab="10"/>
  </bookViews>
  <sheets>
    <sheet name="Instructions Rules" sheetId="32" r:id="rId1"/>
    <sheet name="Basic Input" sheetId="33" r:id="rId2"/>
    <sheet name="Verification of Boxes" sheetId="3" r:id="rId3"/>
    <sheet name="Overview Stage 1" sheetId="51" r:id="rId4"/>
    <sheet name="Stage 2" sheetId="24" r:id="rId5"/>
    <sheet name="Stage 3" sheetId="34" r:id="rId6"/>
    <sheet name="Stage 4" sheetId="35" r:id="rId7"/>
    <sheet name="Stage 5" sheetId="36" r:id="rId8"/>
    <sheet name="Stage 6" sheetId="37" r:id="rId9"/>
    <sheet name="Stage 7" sheetId="38" r:id="rId10"/>
    <sheet name="Stage 8" sheetId="39" r:id="rId11"/>
    <sheet name="Stage 9" sheetId="40" r:id="rId12"/>
    <sheet name="Stage 10" sheetId="41" r:id="rId13"/>
    <sheet name="Stage 11" sheetId="43" r:id="rId14"/>
    <sheet name="Stage 12" sheetId="44" r:id="rId15"/>
    <sheet name="Stage 13" sheetId="45" r:id="rId16"/>
    <sheet name="Stage 14" sheetId="46" r:id="rId17"/>
    <sheet name="Stage 15" sheetId="47" r:id="rId18"/>
    <sheet name="Stage 16" sheetId="48" r:id="rId19"/>
    <sheet name="Stage 17" sheetId="49" r:id="rId20"/>
    <sheet name="Stage 18" sheetId="50" r:id="rId21"/>
    <sheet name="Count Stats" sheetId="52" r:id="rId22"/>
  </sheets>
  <definedNames>
    <definedName name="_xlnm._FilterDatabase" localSheetId="21" hidden="1">'Count Stats'!$A$9:$G$126</definedName>
    <definedName name="_xlnm.Print_Area" localSheetId="13">'Stage 11'!$A$1</definedName>
    <definedName name="_xlnm.Print_Area" localSheetId="14">'Stage 12'!$A$1</definedName>
    <definedName name="_xlnm.Print_Area" localSheetId="15">'Stage 13'!$A$1</definedName>
    <definedName name="_xlnm.Print_Area" localSheetId="16">'Stage 14'!$A$1</definedName>
    <definedName name="_xlnm.Print_Area" localSheetId="17">'Stage 15'!$A$1</definedName>
    <definedName name="_xlnm.Print_Area" localSheetId="18">'Stage 16'!$A$1</definedName>
    <definedName name="_xlnm.Print_Area" localSheetId="19">'Stage 17'!$A$1</definedName>
    <definedName name="_xlnm.Print_Area" localSheetId="20">'Stage 18'!$A$1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6" i="33" l="1"/>
  <c r="B12" i="24" l="1"/>
  <c r="B12" i="34" s="1"/>
  <c r="B12" i="35" s="1"/>
  <c r="B12" i="36" s="1"/>
  <c r="B12" i="37" s="1"/>
  <c r="B12" i="38" s="1"/>
  <c r="B12" i="39" s="1"/>
  <c r="B12" i="40" s="1"/>
  <c r="B12" i="41" s="1"/>
  <c r="B13" i="24"/>
  <c r="B13" i="34" s="1"/>
  <c r="B13" i="35" s="1"/>
  <c r="B13" i="36" s="1"/>
  <c r="B13" i="37" s="1"/>
  <c r="B13" i="38" s="1"/>
  <c r="B13" i="39" s="1"/>
  <c r="B13" i="40" s="1"/>
  <c r="B13" i="41" s="1"/>
  <c r="B14" i="24"/>
  <c r="B14" i="35" s="1"/>
  <c r="B14" i="36" s="1"/>
  <c r="B14" i="37" s="1"/>
  <c r="B14" i="38" s="1"/>
  <c r="B14" i="39" s="1"/>
  <c r="B14" i="40" s="1"/>
  <c r="B14" i="41" s="1"/>
  <c r="B15" i="24"/>
  <c r="B15" i="34" s="1"/>
  <c r="B15" i="35" s="1"/>
  <c r="B15" i="36" s="1"/>
  <c r="B15" i="37" s="1"/>
  <c r="B15" i="38" s="1"/>
  <c r="B15" i="39" s="1"/>
  <c r="B15" i="40" s="1"/>
  <c r="B15" i="41" s="1"/>
  <c r="B16" i="24"/>
  <c r="B16" i="34" s="1"/>
  <c r="B16" i="35" s="1"/>
  <c r="B16" i="36" s="1"/>
  <c r="B16" i="37" s="1"/>
  <c r="B16" i="39" s="1"/>
  <c r="B16" i="40" s="1"/>
  <c r="B16" i="41" s="1"/>
  <c r="B17" i="24"/>
  <c r="B17" i="34" s="1"/>
  <c r="B17" i="35" s="1"/>
  <c r="B17" i="36" s="1"/>
  <c r="B17" i="37" s="1"/>
  <c r="B17" i="38" s="1"/>
  <c r="B17" i="39" s="1"/>
  <c r="B17" i="40" s="1"/>
  <c r="B17" i="41" s="1"/>
  <c r="B18" i="24"/>
  <c r="B18" i="34" s="1"/>
  <c r="B18" i="35" s="1"/>
  <c r="B18" i="36" s="1"/>
  <c r="B18" i="37" s="1"/>
  <c r="B18" i="38" s="1"/>
  <c r="B18" i="40" s="1"/>
  <c r="B18" i="41" s="1"/>
  <c r="B19" i="24"/>
  <c r="B19" i="34" s="1"/>
  <c r="B19" i="35" s="1"/>
  <c r="B19" i="36" s="1"/>
  <c r="B19" i="37" s="1"/>
  <c r="B19" i="38" s="1"/>
  <c r="B19" i="39" s="1"/>
  <c r="B19" i="40" s="1"/>
  <c r="B19" i="41" s="1"/>
  <c r="B20" i="24"/>
  <c r="B20" i="34" s="1"/>
  <c r="B20" i="35" s="1"/>
  <c r="B20" i="36" s="1"/>
  <c r="B20" i="37" s="1"/>
  <c r="B20" i="38" s="1"/>
  <c r="B20" i="40" s="1"/>
  <c r="B20" i="41" s="1"/>
  <c r="B21" i="24"/>
  <c r="B21" i="34" s="1"/>
  <c r="B21" i="35" s="1"/>
  <c r="B21" i="36" s="1"/>
  <c r="B21" i="37" s="1"/>
  <c r="B21" i="38" s="1"/>
  <c r="B21" i="39" s="1"/>
  <c r="B21" i="40" s="1"/>
  <c r="B21" i="41" s="1"/>
  <c r="B22" i="24"/>
  <c r="B22" i="34" s="1"/>
  <c r="B22" i="35" s="1"/>
  <c r="B22" i="36" s="1"/>
  <c r="B22" i="37" s="1"/>
  <c r="B22" i="38" s="1"/>
  <c r="B22" i="39" s="1"/>
  <c r="B22" i="40" s="1"/>
  <c r="B22" i="41" s="1"/>
  <c r="B23" i="24"/>
  <c r="B23" i="34" s="1"/>
  <c r="B23" i="35" s="1"/>
  <c r="B23" i="36" s="1"/>
  <c r="B23" i="37" s="1"/>
  <c r="B23" i="38" s="1"/>
  <c r="B23" i="39" s="1"/>
  <c r="B23" i="40" s="1"/>
  <c r="B23" i="41" s="1"/>
  <c r="B24" i="24"/>
  <c r="B24" i="34" s="1"/>
  <c r="B24" i="35" s="1"/>
  <c r="B24" i="36" s="1"/>
  <c r="B24" i="37" s="1"/>
  <c r="B24" i="38" s="1"/>
  <c r="B24" i="39" s="1"/>
  <c r="B24" i="40" s="1"/>
  <c r="B24" i="41" s="1"/>
  <c r="B25" i="24"/>
  <c r="B25" i="34" s="1"/>
  <c r="B25" i="35" s="1"/>
  <c r="B25" i="36" s="1"/>
  <c r="B25" i="37" s="1"/>
  <c r="B25" i="38" s="1"/>
  <c r="B25" i="39" s="1"/>
  <c r="B25" i="40" s="1"/>
  <c r="B25" i="41" s="1"/>
  <c r="B26" i="24"/>
  <c r="B26" i="34" s="1"/>
  <c r="B26" i="35" s="1"/>
  <c r="B26" i="36" s="1"/>
  <c r="B26" i="37" s="1"/>
  <c r="B26" i="38" s="1"/>
  <c r="B26" i="39" s="1"/>
  <c r="B26" i="40" s="1"/>
  <c r="B26" i="41" s="1"/>
  <c r="B27" i="24"/>
  <c r="B27" i="34" s="1"/>
  <c r="B27" i="35" s="1"/>
  <c r="B27" i="36" s="1"/>
  <c r="B27" i="37" s="1"/>
  <c r="B27" i="38" s="1"/>
  <c r="B27" i="39" s="1"/>
  <c r="B27" i="40" s="1"/>
  <c r="B27" i="41" s="1"/>
  <c r="B28" i="24"/>
  <c r="B28" i="34" s="1"/>
  <c r="B28" i="35" s="1"/>
  <c r="B28" i="36" s="1"/>
  <c r="B28" i="37" s="1"/>
  <c r="B28" i="38" s="1"/>
  <c r="B28" i="39" s="1"/>
  <c r="B28" i="40" s="1"/>
  <c r="B28" i="41" s="1"/>
  <c r="B29" i="24"/>
  <c r="B29" i="34" s="1"/>
  <c r="B29" i="35" s="1"/>
  <c r="B29" i="36" s="1"/>
  <c r="B29" i="37" s="1"/>
  <c r="B29" i="38" s="1"/>
  <c r="B29" i="39" s="1"/>
  <c r="B29" i="40" s="1"/>
  <c r="B29" i="41" s="1"/>
  <c r="B30" i="24"/>
  <c r="B30" i="34" s="1"/>
  <c r="B30" i="35" s="1"/>
  <c r="B30" i="36" s="1"/>
  <c r="B30" i="37" s="1"/>
  <c r="B30" i="38" s="1"/>
  <c r="B30" i="39" s="1"/>
  <c r="B30" i="40" s="1"/>
  <c r="B30" i="41" s="1"/>
  <c r="B11" i="24"/>
  <c r="B11" i="34" s="1"/>
  <c r="B11" i="35" s="1"/>
  <c r="B11" i="36" s="1"/>
  <c r="B11" i="37" s="1"/>
  <c r="B11" i="38" s="1"/>
  <c r="B11" i="39" s="1"/>
  <c r="B11" i="40" s="1"/>
  <c r="B11" i="41" s="1"/>
  <c r="B11" i="43" s="1"/>
  <c r="DG240" i="3"/>
  <c r="B76" i="43" l="1"/>
  <c r="B30" i="43"/>
  <c r="B75" i="43"/>
  <c r="B29" i="43"/>
  <c r="B74" i="43"/>
  <c r="B28" i="43"/>
  <c r="B73" i="43"/>
  <c r="B27" i="43"/>
  <c r="B72" i="43"/>
  <c r="B26" i="43"/>
  <c r="B71" i="43"/>
  <c r="B25" i="43"/>
  <c r="B70" i="43"/>
  <c r="B24" i="43"/>
  <c r="B69" i="43"/>
  <c r="B23" i="43"/>
  <c r="B68" i="43"/>
  <c r="B22" i="43"/>
  <c r="B67" i="43"/>
  <c r="B21" i="43"/>
  <c r="B66" i="43"/>
  <c r="B20" i="43"/>
  <c r="B65" i="43"/>
  <c r="B19" i="43"/>
  <c r="B64" i="43"/>
  <c r="B18" i="43"/>
  <c r="B63" i="43"/>
  <c r="B17" i="43"/>
  <c r="B62" i="43"/>
  <c r="B16" i="43"/>
  <c r="B61" i="43"/>
  <c r="B15" i="43"/>
  <c r="B60" i="43"/>
  <c r="B14" i="43"/>
  <c r="B59" i="43"/>
  <c r="B13" i="43"/>
  <c r="B58" i="43"/>
  <c r="B12" i="43"/>
  <c r="B57" i="43"/>
  <c r="B12" i="44" l="1"/>
  <c r="B58" i="44"/>
  <c r="B13" i="44"/>
  <c r="B59" i="44"/>
  <c r="B14" i="44"/>
  <c r="B60" i="44"/>
  <c r="B15" i="44"/>
  <c r="B61" i="44"/>
  <c r="B16" i="44"/>
  <c r="B62" i="44"/>
  <c r="B17" i="44"/>
  <c r="B63" i="44"/>
  <c r="B18" i="44"/>
  <c r="B64" i="44"/>
  <c r="B19" i="44"/>
  <c r="B65" i="44"/>
  <c r="B20" i="44"/>
  <c r="B66" i="44"/>
  <c r="B21" i="44"/>
  <c r="B67" i="44"/>
  <c r="B22" i="44"/>
  <c r="B68" i="44"/>
  <c r="B23" i="44"/>
  <c r="B69" i="44"/>
  <c r="B24" i="44"/>
  <c r="B70" i="44"/>
  <c r="B25" i="44"/>
  <c r="B71" i="44"/>
  <c r="B26" i="44"/>
  <c r="B72" i="44"/>
  <c r="B27" i="44"/>
  <c r="B73" i="44"/>
  <c r="B28" i="44"/>
  <c r="B74" i="44"/>
  <c r="B29" i="44"/>
  <c r="B75" i="44"/>
  <c r="B30" i="44"/>
  <c r="B76" i="44"/>
  <c r="B11" i="44"/>
  <c r="B57" i="44"/>
  <c r="B30" i="45" l="1"/>
  <c r="B76" i="45"/>
  <c r="B29" i="45"/>
  <c r="B75" i="45"/>
  <c r="B28" i="45"/>
  <c r="B74" i="45"/>
  <c r="B27" i="45"/>
  <c r="B73" i="45"/>
  <c r="B26" i="45"/>
  <c r="B72" i="45"/>
  <c r="B25" i="45"/>
  <c r="B71" i="45"/>
  <c r="B24" i="45"/>
  <c r="B70" i="45"/>
  <c r="B23" i="45"/>
  <c r="B69" i="45"/>
  <c r="B22" i="45"/>
  <c r="B68" i="45"/>
  <c r="B21" i="45"/>
  <c r="B67" i="45"/>
  <c r="B20" i="45"/>
  <c r="B66" i="45"/>
  <c r="B19" i="45"/>
  <c r="B65" i="45"/>
  <c r="B18" i="45"/>
  <c r="B64" i="45"/>
  <c r="B17" i="45"/>
  <c r="B63" i="45"/>
  <c r="B16" i="45"/>
  <c r="B62" i="45"/>
  <c r="B15" i="45"/>
  <c r="B61" i="45"/>
  <c r="B14" i="45"/>
  <c r="B60" i="45"/>
  <c r="B13" i="45"/>
  <c r="B59" i="45"/>
  <c r="B12" i="45"/>
  <c r="B58" i="45"/>
  <c r="B11" i="45"/>
  <c r="B57" i="45"/>
  <c r="B12" i="46" l="1"/>
  <c r="B58" i="46"/>
  <c r="B13" i="46"/>
  <c r="B59" i="46"/>
  <c r="B14" i="46"/>
  <c r="B60" i="46"/>
  <c r="B15" i="46"/>
  <c r="B61" i="46"/>
  <c r="B16" i="46"/>
  <c r="B62" i="46"/>
  <c r="B17" i="46"/>
  <c r="B63" i="46"/>
  <c r="B18" i="46"/>
  <c r="B64" i="46"/>
  <c r="B19" i="46"/>
  <c r="B65" i="46"/>
  <c r="B20" i="46"/>
  <c r="B66" i="46"/>
  <c r="B21" i="46"/>
  <c r="B67" i="46"/>
  <c r="B22" i="46"/>
  <c r="B68" i="46"/>
  <c r="B23" i="46"/>
  <c r="B69" i="46"/>
  <c r="B24" i="46"/>
  <c r="B70" i="46"/>
  <c r="B25" i="46"/>
  <c r="B71" i="46"/>
  <c r="B26" i="46"/>
  <c r="B72" i="46"/>
  <c r="B27" i="46"/>
  <c r="B73" i="46"/>
  <c r="B28" i="46"/>
  <c r="B74" i="46"/>
  <c r="B29" i="46"/>
  <c r="B75" i="46"/>
  <c r="B30" i="46"/>
  <c r="B76" i="46"/>
  <c r="B11" i="46"/>
  <c r="B57" i="46"/>
  <c r="B76" i="47" l="1"/>
  <c r="B30" i="47"/>
  <c r="B75" i="47"/>
  <c r="B29" i="47"/>
  <c r="B74" i="47"/>
  <c r="B28" i="47"/>
  <c r="B73" i="47"/>
  <c r="B27" i="47"/>
  <c r="B72" i="47"/>
  <c r="B26" i="47"/>
  <c r="B71" i="47"/>
  <c r="B25" i="47"/>
  <c r="B70" i="47"/>
  <c r="B24" i="47"/>
  <c r="B69" i="47"/>
  <c r="B23" i="47"/>
  <c r="B68" i="47"/>
  <c r="B22" i="47"/>
  <c r="B67" i="47"/>
  <c r="B21" i="47"/>
  <c r="B66" i="47"/>
  <c r="B20" i="47"/>
  <c r="B65" i="47"/>
  <c r="B19" i="47"/>
  <c r="B64" i="47"/>
  <c r="B18" i="47"/>
  <c r="B63" i="47"/>
  <c r="B17" i="47"/>
  <c r="B62" i="47"/>
  <c r="B16" i="47"/>
  <c r="B61" i="47"/>
  <c r="B15" i="47"/>
  <c r="B60" i="47"/>
  <c r="B14" i="47"/>
  <c r="B59" i="47"/>
  <c r="B13" i="47"/>
  <c r="B58" i="47"/>
  <c r="B12" i="47"/>
  <c r="B57" i="47"/>
  <c r="B11" i="47"/>
  <c r="B12" i="48" l="1"/>
  <c r="B58" i="48"/>
  <c r="B13" i="48"/>
  <c r="B59" i="48"/>
  <c r="B14" i="48"/>
  <c r="B60" i="48"/>
  <c r="B15" i="48"/>
  <c r="B61" i="48"/>
  <c r="B16" i="48"/>
  <c r="B62" i="48"/>
  <c r="B17" i="48"/>
  <c r="B63" i="48"/>
  <c r="B18" i="48"/>
  <c r="B64" i="48"/>
  <c r="B19" i="48"/>
  <c r="B65" i="48"/>
  <c r="B20" i="48"/>
  <c r="B66" i="48"/>
  <c r="B21" i="48"/>
  <c r="B67" i="48"/>
  <c r="B22" i="48"/>
  <c r="B68" i="48"/>
  <c r="B23" i="48"/>
  <c r="B69" i="48"/>
  <c r="B24" i="48"/>
  <c r="B70" i="48"/>
  <c r="B25" i="48"/>
  <c r="B71" i="48"/>
  <c r="B26" i="48"/>
  <c r="B72" i="48"/>
  <c r="B27" i="48"/>
  <c r="B73" i="48"/>
  <c r="B28" i="48"/>
  <c r="B74" i="48"/>
  <c r="B29" i="48"/>
  <c r="B75" i="48"/>
  <c r="B30" i="48"/>
  <c r="B76" i="48"/>
  <c r="B11" i="48"/>
  <c r="B57" i="48"/>
  <c r="B30" i="49" l="1"/>
  <c r="B76" i="49"/>
  <c r="B29" i="49"/>
  <c r="B75" i="49"/>
  <c r="B28" i="49"/>
  <c r="B74" i="49"/>
  <c r="B27" i="49"/>
  <c r="B73" i="49"/>
  <c r="B26" i="49"/>
  <c r="B72" i="49"/>
  <c r="B25" i="49"/>
  <c r="B71" i="49"/>
  <c r="B24" i="49"/>
  <c r="B70" i="49"/>
  <c r="B23" i="49"/>
  <c r="B69" i="49"/>
  <c r="B22" i="49"/>
  <c r="B68" i="49"/>
  <c r="B21" i="49"/>
  <c r="B67" i="49"/>
  <c r="B20" i="49"/>
  <c r="B66" i="49"/>
  <c r="B19" i="49"/>
  <c r="B65" i="49"/>
  <c r="B18" i="49"/>
  <c r="B64" i="49"/>
  <c r="B17" i="49"/>
  <c r="B63" i="49"/>
  <c r="B16" i="49"/>
  <c r="B62" i="49"/>
  <c r="B15" i="49"/>
  <c r="B61" i="49"/>
  <c r="B14" i="49"/>
  <c r="B60" i="49"/>
  <c r="B13" i="49"/>
  <c r="B59" i="49"/>
  <c r="B12" i="49"/>
  <c r="B58" i="49"/>
  <c r="B11" i="49"/>
  <c r="B57" i="49"/>
  <c r="B58" i="50" l="1"/>
  <c r="B12" i="50"/>
  <c r="B59" i="50"/>
  <c r="B13" i="50"/>
  <c r="B60" i="50"/>
  <c r="B14" i="50"/>
  <c r="B61" i="50"/>
  <c r="B15" i="50"/>
  <c r="B62" i="50"/>
  <c r="B16" i="50"/>
  <c r="B63" i="50"/>
  <c r="B17" i="50"/>
  <c r="B64" i="50"/>
  <c r="B18" i="50"/>
  <c r="B65" i="50"/>
  <c r="B19" i="50"/>
  <c r="B66" i="50"/>
  <c r="B20" i="50"/>
  <c r="B67" i="50"/>
  <c r="B21" i="50"/>
  <c r="B68" i="50"/>
  <c r="B22" i="50"/>
  <c r="B69" i="50"/>
  <c r="B23" i="50"/>
  <c r="B70" i="50"/>
  <c r="B24" i="50"/>
  <c r="B71" i="50"/>
  <c r="B25" i="50"/>
  <c r="B72" i="50"/>
  <c r="B26" i="50"/>
  <c r="B73" i="50"/>
  <c r="B27" i="50"/>
  <c r="B74" i="50"/>
  <c r="B28" i="50"/>
  <c r="B75" i="50"/>
  <c r="B29" i="50"/>
  <c r="B76" i="50"/>
  <c r="B30" i="50"/>
  <c r="B57" i="50"/>
  <c r="B11" i="50"/>
  <c r="E18" i="52" l="1"/>
  <c r="E17" i="52"/>
  <c r="E20" i="52" s="1"/>
  <c r="E12" i="52"/>
  <c r="E11" i="52"/>
  <c r="E13" i="52" l="1"/>
  <c r="BX49" i="50" l="1"/>
  <c r="BX50" i="50"/>
  <c r="BX51" i="50"/>
  <c r="BX52" i="50"/>
  <c r="BX53" i="50"/>
  <c r="BX54" i="50"/>
  <c r="BX55" i="50"/>
  <c r="BX56" i="50"/>
  <c r="BX57" i="50"/>
  <c r="BX58" i="50"/>
  <c r="BX59" i="50"/>
  <c r="BX60" i="50"/>
  <c r="BX61" i="50"/>
  <c r="BX62" i="50"/>
  <c r="BX63" i="50"/>
  <c r="BX64" i="50"/>
  <c r="BX65" i="50"/>
  <c r="BX66" i="50"/>
  <c r="BX67" i="50"/>
  <c r="BX68" i="50"/>
  <c r="BW49" i="49"/>
  <c r="BW50" i="49"/>
  <c r="BW51" i="49"/>
  <c r="BW52" i="49"/>
  <c r="BW53" i="49"/>
  <c r="BW54" i="49"/>
  <c r="BW55" i="49"/>
  <c r="BW56" i="49"/>
  <c r="BW57" i="49"/>
  <c r="BW58" i="49"/>
  <c r="BW59" i="49"/>
  <c r="BW60" i="49"/>
  <c r="BW61" i="49"/>
  <c r="BW62" i="49"/>
  <c r="BW63" i="49"/>
  <c r="BW64" i="49"/>
  <c r="BW65" i="49"/>
  <c r="BW66" i="49"/>
  <c r="BW67" i="49"/>
  <c r="BW68" i="49"/>
  <c r="BW49" i="48"/>
  <c r="BW50" i="48"/>
  <c r="BW51" i="48"/>
  <c r="BW52" i="48"/>
  <c r="BW53" i="48"/>
  <c r="BW54" i="48"/>
  <c r="BW55" i="48"/>
  <c r="BW56" i="48"/>
  <c r="BW57" i="48"/>
  <c r="BW58" i="48"/>
  <c r="BW59" i="48"/>
  <c r="BW60" i="48"/>
  <c r="BW61" i="48"/>
  <c r="BW62" i="48"/>
  <c r="BW63" i="48"/>
  <c r="BW64" i="48"/>
  <c r="BW65" i="48"/>
  <c r="BW66" i="48"/>
  <c r="BW67" i="48"/>
  <c r="BW68" i="48"/>
  <c r="BW49" i="47"/>
  <c r="BW50" i="47"/>
  <c r="BW51" i="47"/>
  <c r="BW52" i="47"/>
  <c r="BW53" i="47"/>
  <c r="BW54" i="47"/>
  <c r="BW55" i="47"/>
  <c r="BW56" i="47"/>
  <c r="BW57" i="47"/>
  <c r="BW58" i="47"/>
  <c r="BW59" i="47"/>
  <c r="BW60" i="47"/>
  <c r="BW61" i="47"/>
  <c r="BW62" i="47"/>
  <c r="BW63" i="47"/>
  <c r="BW64" i="47"/>
  <c r="BW65" i="47"/>
  <c r="BW66" i="47"/>
  <c r="BW67" i="47"/>
  <c r="BW68" i="47"/>
  <c r="BW49" i="46"/>
  <c r="BW50" i="46"/>
  <c r="BW51" i="46"/>
  <c r="BW52" i="46"/>
  <c r="BW53" i="46"/>
  <c r="BW54" i="46"/>
  <c r="BW55" i="46"/>
  <c r="BW56" i="46"/>
  <c r="BW57" i="46"/>
  <c r="BW58" i="46"/>
  <c r="BW59" i="46"/>
  <c r="BW60" i="46"/>
  <c r="BW61" i="46"/>
  <c r="BW62" i="46"/>
  <c r="BW63" i="46"/>
  <c r="BW64" i="46"/>
  <c r="BW65" i="46"/>
  <c r="BW66" i="46"/>
  <c r="BW67" i="46"/>
  <c r="BW68" i="46"/>
  <c r="BW49" i="45"/>
  <c r="BW50" i="45"/>
  <c r="BW51" i="45"/>
  <c r="BW52" i="45"/>
  <c r="BW53" i="45"/>
  <c r="BW54" i="45"/>
  <c r="BW55" i="45"/>
  <c r="BW56" i="45"/>
  <c r="BW57" i="45"/>
  <c r="BW58" i="45"/>
  <c r="BW59" i="45"/>
  <c r="BW60" i="45"/>
  <c r="BW61" i="45"/>
  <c r="BW62" i="45"/>
  <c r="BW63" i="45"/>
  <c r="BW64" i="45"/>
  <c r="BW65" i="45"/>
  <c r="BW66" i="45"/>
  <c r="BW67" i="45"/>
  <c r="BW68" i="45"/>
  <c r="BW49" i="44"/>
  <c r="BW50" i="44"/>
  <c r="BW51" i="44"/>
  <c r="BW52" i="44"/>
  <c r="BW53" i="44"/>
  <c r="BW54" i="44"/>
  <c r="BW55" i="44"/>
  <c r="BW56" i="44"/>
  <c r="BW57" i="44"/>
  <c r="BW58" i="44"/>
  <c r="BW59" i="44"/>
  <c r="BW60" i="44"/>
  <c r="BW61" i="44"/>
  <c r="BW62" i="44"/>
  <c r="BW63" i="44"/>
  <c r="BW64" i="44"/>
  <c r="BW65" i="44"/>
  <c r="BW66" i="44"/>
  <c r="BW67" i="44"/>
  <c r="BW68" i="44"/>
  <c r="BW49" i="43"/>
  <c r="BW50" i="43"/>
  <c r="BW51" i="43"/>
  <c r="BW52" i="43"/>
  <c r="BW53" i="43"/>
  <c r="BW54" i="43"/>
  <c r="BW55" i="43"/>
  <c r="BW56" i="43"/>
  <c r="BW57" i="43"/>
  <c r="BW58" i="43"/>
  <c r="BW59" i="43"/>
  <c r="BW60" i="43"/>
  <c r="BW61" i="43"/>
  <c r="BW62" i="43"/>
  <c r="BW63" i="43"/>
  <c r="BW64" i="43"/>
  <c r="BW65" i="43"/>
  <c r="BW66" i="43"/>
  <c r="BW67" i="43"/>
  <c r="BW68" i="43"/>
  <c r="BW49" i="41"/>
  <c r="BW50" i="41"/>
  <c r="BW51" i="41"/>
  <c r="BW52" i="41"/>
  <c r="BW53" i="41"/>
  <c r="BW54" i="41"/>
  <c r="BW55" i="41"/>
  <c r="BW56" i="41"/>
  <c r="BW57" i="41"/>
  <c r="BW58" i="41"/>
  <c r="BW59" i="41"/>
  <c r="BW60" i="41"/>
  <c r="BW61" i="41"/>
  <c r="BW62" i="41"/>
  <c r="BW63" i="41"/>
  <c r="BW64" i="41"/>
  <c r="BW65" i="41"/>
  <c r="BW66" i="41"/>
  <c r="BW67" i="41"/>
  <c r="BW68" i="41"/>
  <c r="BW49" i="40"/>
  <c r="BW50" i="40"/>
  <c r="BW51" i="40"/>
  <c r="BW52" i="40"/>
  <c r="BW53" i="40"/>
  <c r="BW54" i="40"/>
  <c r="BW55" i="40"/>
  <c r="BW56" i="40"/>
  <c r="BW58" i="40"/>
  <c r="BW59" i="40"/>
  <c r="BW60" i="40"/>
  <c r="BW61" i="40"/>
  <c r="BW62" i="40"/>
  <c r="BW63" i="40"/>
  <c r="BW64" i="40"/>
  <c r="BW65" i="40"/>
  <c r="BW66" i="40"/>
  <c r="BW67" i="40"/>
  <c r="BW68" i="40"/>
  <c r="BW49" i="39"/>
  <c r="BW50" i="39"/>
  <c r="BW51" i="39"/>
  <c r="BW52" i="39"/>
  <c r="BW53" i="39"/>
  <c r="BW54" i="39"/>
  <c r="BW55" i="39"/>
  <c r="BW56" i="39"/>
  <c r="BW57" i="39"/>
  <c r="BW58" i="39"/>
  <c r="BW59" i="39"/>
  <c r="BW60" i="39"/>
  <c r="BW61" i="39"/>
  <c r="BW62" i="39"/>
  <c r="BW63" i="39"/>
  <c r="BW64" i="39"/>
  <c r="BW65" i="39"/>
  <c r="BW66" i="39"/>
  <c r="BW67" i="39"/>
  <c r="BW68" i="39"/>
  <c r="BW49" i="38"/>
  <c r="BW50" i="38"/>
  <c r="BW51" i="38"/>
  <c r="BW52" i="38"/>
  <c r="BW53" i="38"/>
  <c r="BW54" i="38"/>
  <c r="BW55" i="38"/>
  <c r="BW56" i="38"/>
  <c r="BW57" i="38"/>
  <c r="BW58" i="38"/>
  <c r="BW59" i="38"/>
  <c r="BW60" i="38"/>
  <c r="BW61" i="38"/>
  <c r="BW62" i="38"/>
  <c r="BW63" i="38"/>
  <c r="BW64" i="38"/>
  <c r="BW65" i="38"/>
  <c r="BW66" i="38"/>
  <c r="BW67" i="38"/>
  <c r="BW68" i="38"/>
  <c r="BW49" i="37"/>
  <c r="BW50" i="37"/>
  <c r="BW51" i="37"/>
  <c r="BW52" i="37"/>
  <c r="BW53" i="37"/>
  <c r="BW54" i="37"/>
  <c r="BW55" i="37"/>
  <c r="BW56" i="37"/>
  <c r="BW57" i="37"/>
  <c r="BW58" i="37"/>
  <c r="BW59" i="37"/>
  <c r="BW60" i="37"/>
  <c r="BW61" i="37"/>
  <c r="BW62" i="37"/>
  <c r="BW63" i="37"/>
  <c r="BW64" i="37"/>
  <c r="BW65" i="37"/>
  <c r="BW66" i="37"/>
  <c r="BW67" i="37"/>
  <c r="BW68" i="37"/>
  <c r="BW49" i="36"/>
  <c r="BW50" i="36"/>
  <c r="BW51" i="36"/>
  <c r="BW52" i="36"/>
  <c r="BW53" i="36"/>
  <c r="BW54" i="36"/>
  <c r="BW55" i="36"/>
  <c r="BW56" i="36"/>
  <c r="BW57" i="36"/>
  <c r="BW58" i="36"/>
  <c r="BW59" i="36"/>
  <c r="BW60" i="36"/>
  <c r="BW61" i="36"/>
  <c r="BW62" i="36"/>
  <c r="BW63" i="36"/>
  <c r="BW64" i="36"/>
  <c r="BW65" i="36"/>
  <c r="BW66" i="36"/>
  <c r="BW67" i="36"/>
  <c r="BW68" i="36"/>
  <c r="BS29" i="35"/>
  <c r="BT29" i="35" s="1"/>
  <c r="BU29" i="35"/>
  <c r="BV29" i="35" s="1"/>
  <c r="BW29" i="35"/>
  <c r="BX29" i="35" s="1"/>
  <c r="BY29" i="35"/>
  <c r="BZ29" i="35" s="1"/>
  <c r="BE47" i="34"/>
  <c r="J17" i="3"/>
  <c r="BE48" i="34"/>
  <c r="AT5" i="34"/>
  <c r="H7" i="34" s="1"/>
  <c r="J14" i="3"/>
  <c r="C15" i="35" s="1"/>
  <c r="DB215" i="35" s="1"/>
  <c r="BE49" i="24"/>
  <c r="BE50" i="24"/>
  <c r="AT5" i="24"/>
  <c r="E11" i="24"/>
  <c r="J10" i="3"/>
  <c r="BF25" i="24"/>
  <c r="BC18" i="24" s="1"/>
  <c r="BC19" i="24" s="1"/>
  <c r="G3" i="3"/>
  <c r="G49" i="50" s="1"/>
  <c r="L31" i="3"/>
  <c r="J11" i="3"/>
  <c r="E12" i="24"/>
  <c r="J12" i="3"/>
  <c r="Z16" i="24" s="1"/>
  <c r="AJ50" i="24" s="1"/>
  <c r="E13" i="24"/>
  <c r="J13" i="3"/>
  <c r="E14" i="24"/>
  <c r="E15" i="24"/>
  <c r="J15" i="3"/>
  <c r="E16" i="24"/>
  <c r="J16" i="3"/>
  <c r="C63" i="50" s="1"/>
  <c r="E17" i="24"/>
  <c r="E18" i="24"/>
  <c r="J18" i="3"/>
  <c r="Z22" i="24" s="1"/>
  <c r="E19" i="24"/>
  <c r="J19" i="3"/>
  <c r="BE14" i="39" s="1"/>
  <c r="BG58" i="39" s="1"/>
  <c r="J20" i="3"/>
  <c r="J21" i="3"/>
  <c r="Z25" i="46" s="1"/>
  <c r="J22" i="3"/>
  <c r="J23" i="3"/>
  <c r="BR21" i="38" s="1"/>
  <c r="J24" i="3"/>
  <c r="J25" i="3"/>
  <c r="J26" i="3"/>
  <c r="C73" i="47" s="1"/>
  <c r="J27" i="3"/>
  <c r="J28" i="3"/>
  <c r="J29" i="3"/>
  <c r="BN49" i="24"/>
  <c r="BJ49" i="24" s="1"/>
  <c r="BF25" i="34"/>
  <c r="BC18" i="34" s="1"/>
  <c r="BC19" i="34" s="1"/>
  <c r="BN50" i="24"/>
  <c r="BJ50" i="24" s="1"/>
  <c r="BN51" i="24"/>
  <c r="BJ51" i="24" s="1"/>
  <c r="BN52" i="24"/>
  <c r="BJ52" i="24" s="1"/>
  <c r="BN53" i="24"/>
  <c r="BJ53" i="24" s="1"/>
  <c r="BN54" i="24"/>
  <c r="BJ54" i="24" s="1"/>
  <c r="BN55" i="24"/>
  <c r="BJ55" i="24" s="1"/>
  <c r="BN56" i="24"/>
  <c r="BJ56" i="24" s="1"/>
  <c r="BN57" i="24"/>
  <c r="BJ57" i="24" s="1"/>
  <c r="BN47" i="34"/>
  <c r="BJ47" i="34" s="1"/>
  <c r="BW49" i="35"/>
  <c r="BN48" i="34"/>
  <c r="BJ48" i="34" s="1"/>
  <c r="BW50" i="35"/>
  <c r="BW51" i="35"/>
  <c r="BW52" i="35"/>
  <c r="BW53" i="35"/>
  <c r="BN52" i="34"/>
  <c r="BJ52" i="34" s="1"/>
  <c r="BW54" i="35"/>
  <c r="BW55" i="35"/>
  <c r="BW56" i="35"/>
  <c r="BN55" i="34"/>
  <c r="BJ55" i="34" s="1"/>
  <c r="BW57" i="35"/>
  <c r="BW58" i="35"/>
  <c r="BW59" i="35"/>
  <c r="BW60" i="35"/>
  <c r="BW61" i="35"/>
  <c r="BW62" i="35"/>
  <c r="BW63" i="35"/>
  <c r="BW64" i="35"/>
  <c r="BW65" i="35"/>
  <c r="BW66" i="35"/>
  <c r="BW67" i="35"/>
  <c r="BW68" i="35"/>
  <c r="BW49" i="24"/>
  <c r="BW50" i="24"/>
  <c r="BW51" i="24"/>
  <c r="BW52" i="24"/>
  <c r="BW53" i="24"/>
  <c r="BW54" i="24"/>
  <c r="BW55" i="24"/>
  <c r="BW56" i="24"/>
  <c r="BW57" i="24"/>
  <c r="BW58" i="24"/>
  <c r="BW59" i="24"/>
  <c r="BW60" i="24"/>
  <c r="BW61" i="24"/>
  <c r="BW62" i="24"/>
  <c r="BW63" i="24"/>
  <c r="BW64" i="24"/>
  <c r="BW65" i="24"/>
  <c r="BW66" i="24"/>
  <c r="BW67" i="24"/>
  <c r="BW68" i="24"/>
  <c r="BS29" i="24"/>
  <c r="BT29" i="24"/>
  <c r="BU29" i="24"/>
  <c r="BW29" i="24"/>
  <c r="BX29" i="24" s="1"/>
  <c r="BY29" i="24"/>
  <c r="BZ29" i="24" s="1"/>
  <c r="CA29" i="24"/>
  <c r="CB29" i="24" s="1"/>
  <c r="CC29" i="24"/>
  <c r="CD29" i="24" s="1"/>
  <c r="BW47" i="34"/>
  <c r="BW48" i="34"/>
  <c r="BW49" i="34"/>
  <c r="BW50" i="34"/>
  <c r="BW51" i="34"/>
  <c r="BW52" i="34"/>
  <c r="BW53" i="34"/>
  <c r="BW54" i="34"/>
  <c r="BW55" i="34"/>
  <c r="BW56" i="34"/>
  <c r="BW57" i="34"/>
  <c r="BW58" i="34"/>
  <c r="BW59" i="34"/>
  <c r="BW60" i="34"/>
  <c r="BW61" i="34"/>
  <c r="BW62" i="34"/>
  <c r="BW63" i="34"/>
  <c r="BW64" i="34"/>
  <c r="BW65" i="34"/>
  <c r="BW66" i="34"/>
  <c r="BS29" i="34"/>
  <c r="BT29" i="34" s="1"/>
  <c r="AT5" i="36"/>
  <c r="L7" i="36"/>
  <c r="BE50" i="36"/>
  <c r="BE49" i="36"/>
  <c r="AT5" i="35"/>
  <c r="AT5" i="44"/>
  <c r="J53" i="44"/>
  <c r="E121" i="52"/>
  <c r="E124" i="52" s="1"/>
  <c r="CC29" i="39"/>
  <c r="CD29" i="39" s="1"/>
  <c r="BY29" i="34"/>
  <c r="BZ29" i="34" s="1"/>
  <c r="E120" i="52"/>
  <c r="E114" i="52"/>
  <c r="E122" i="52" s="1"/>
  <c r="E108" i="52"/>
  <c r="E102" i="52"/>
  <c r="E96" i="52"/>
  <c r="E90" i="52"/>
  <c r="E84" i="52"/>
  <c r="E78" i="52"/>
  <c r="E72" i="52"/>
  <c r="E66" i="52"/>
  <c r="E74" i="52" s="1"/>
  <c r="E60" i="52"/>
  <c r="E54" i="52"/>
  <c r="E48" i="52"/>
  <c r="E42" i="52"/>
  <c r="E50" i="52" s="1"/>
  <c r="E36" i="52"/>
  <c r="E44" i="52" s="1"/>
  <c r="E30" i="52"/>
  <c r="E24" i="52"/>
  <c r="D7" i="3"/>
  <c r="E10" i="52" s="1"/>
  <c r="E6" i="52"/>
  <c r="J49" i="50"/>
  <c r="BZ1" i="50"/>
  <c r="BF29" i="50"/>
  <c r="AT5" i="50"/>
  <c r="BE1" i="50" s="1"/>
  <c r="AL3" i="50"/>
  <c r="J3" i="49"/>
  <c r="J49" i="49"/>
  <c r="AT5" i="49"/>
  <c r="BY1" i="49" s="1"/>
  <c r="BF29" i="49"/>
  <c r="BE1" i="49"/>
  <c r="AL3" i="49"/>
  <c r="J49" i="48"/>
  <c r="BF29" i="48"/>
  <c r="AT5" i="48"/>
  <c r="AL3" i="48"/>
  <c r="J49" i="47"/>
  <c r="AT5" i="47"/>
  <c r="BF29" i="47"/>
  <c r="BF25" i="47"/>
  <c r="BF27" i="47" s="1"/>
  <c r="AL3" i="47"/>
  <c r="J49" i="46"/>
  <c r="BF29" i="46"/>
  <c r="AT5" i="46"/>
  <c r="AL3" i="46"/>
  <c r="AT5" i="45"/>
  <c r="J49" i="43"/>
  <c r="J49" i="44"/>
  <c r="J49" i="45"/>
  <c r="BF29" i="45"/>
  <c r="AL3" i="45"/>
  <c r="BY1" i="44"/>
  <c r="AT5" i="43"/>
  <c r="H53" i="43" s="1"/>
  <c r="BF29" i="44"/>
  <c r="BE1" i="44"/>
  <c r="AL3" i="44"/>
  <c r="BF29" i="43"/>
  <c r="BE1" i="43"/>
  <c r="AL3" i="43"/>
  <c r="AT5" i="41"/>
  <c r="BE1" i="41" s="1"/>
  <c r="BY1" i="41"/>
  <c r="BF29" i="41"/>
  <c r="AL3" i="41"/>
  <c r="BF29" i="40"/>
  <c r="AL3" i="40"/>
  <c r="BF29" i="39"/>
  <c r="AT5" i="39"/>
  <c r="AL3" i="39"/>
  <c r="BF29" i="38"/>
  <c r="AT5" i="38"/>
  <c r="P7" i="38" s="1"/>
  <c r="AL3" i="38"/>
  <c r="BP31" i="37"/>
  <c r="BS29" i="37"/>
  <c r="BT29" i="37" s="1"/>
  <c r="BU29" i="37"/>
  <c r="BV29" i="37"/>
  <c r="BW29" i="37"/>
  <c r="BX29" i="37" s="1"/>
  <c r="BY29" i="37"/>
  <c r="BZ29" i="37" s="1"/>
  <c r="CA29" i="37"/>
  <c r="CB29" i="37" s="1"/>
  <c r="CC29" i="37"/>
  <c r="CD29" i="37" s="1"/>
  <c r="AT5" i="37"/>
  <c r="BY1" i="37" s="1"/>
  <c r="BF29" i="37"/>
  <c r="BF25" i="37"/>
  <c r="BF27" i="37" s="1"/>
  <c r="BE1" i="37"/>
  <c r="AL3" i="37"/>
  <c r="J3" i="41"/>
  <c r="AT5" i="40"/>
  <c r="J3" i="40"/>
  <c r="J3" i="39"/>
  <c r="J3" i="38"/>
  <c r="U4" i="37"/>
  <c r="BF25" i="36"/>
  <c r="BN49" i="34"/>
  <c r="BJ49" i="34" s="1"/>
  <c r="BN50" i="34"/>
  <c r="BJ50" i="34" s="1"/>
  <c r="BN51" i="34"/>
  <c r="BJ51" i="34" s="1"/>
  <c r="BN53" i="34"/>
  <c r="BJ53" i="34" s="1"/>
  <c r="BN54" i="34"/>
  <c r="BJ54" i="34" s="1"/>
  <c r="BN49" i="35"/>
  <c r="BJ49" i="35" s="1"/>
  <c r="BE49" i="35"/>
  <c r="BE50" i="35"/>
  <c r="BE51" i="35"/>
  <c r="BE52" i="35"/>
  <c r="BZ8" i="35"/>
  <c r="BX8" i="35"/>
  <c r="BN50" i="35"/>
  <c r="BJ50" i="35" s="1"/>
  <c r="BZ9" i="35"/>
  <c r="BX9" i="35"/>
  <c r="BN51" i="35"/>
  <c r="BJ51" i="35" s="1"/>
  <c r="BX10" i="35"/>
  <c r="BZ10" i="35"/>
  <c r="BN52" i="35"/>
  <c r="BJ52" i="35" s="1"/>
  <c r="BX11" i="35"/>
  <c r="BZ11" i="35"/>
  <c r="BN53" i="35"/>
  <c r="BJ53" i="35" s="1"/>
  <c r="BZ12" i="35"/>
  <c r="BX12" i="35"/>
  <c r="BN54" i="35"/>
  <c r="BJ54" i="35" s="1"/>
  <c r="BZ13" i="35"/>
  <c r="BX13" i="35"/>
  <c r="BN55" i="35"/>
  <c r="BJ55" i="35" s="1"/>
  <c r="BT14" i="35"/>
  <c r="BZ14" i="35"/>
  <c r="BX14" i="35"/>
  <c r="BN56" i="35"/>
  <c r="BJ56" i="35" s="1"/>
  <c r="BZ15" i="35"/>
  <c r="BX15" i="35"/>
  <c r="Z22" i="36"/>
  <c r="BN57" i="35"/>
  <c r="BJ57" i="35" s="1"/>
  <c r="BZ16" i="35"/>
  <c r="BX16" i="35"/>
  <c r="Z28" i="36"/>
  <c r="Z32" i="36"/>
  <c r="AJ66" i="36" s="1"/>
  <c r="BN49" i="36"/>
  <c r="BJ49" i="36" s="1"/>
  <c r="BN50" i="36"/>
  <c r="BJ50" i="36" s="1"/>
  <c r="BN51" i="36"/>
  <c r="BJ51" i="36" s="1"/>
  <c r="BN52" i="36"/>
  <c r="BJ52" i="36" s="1"/>
  <c r="BN53" i="36"/>
  <c r="BJ53" i="36" s="1"/>
  <c r="BN54" i="36"/>
  <c r="BJ54" i="36" s="1"/>
  <c r="BN55" i="36"/>
  <c r="BJ55" i="36" s="1"/>
  <c r="BN56" i="36"/>
  <c r="BJ56" i="36" s="1"/>
  <c r="BN57" i="36"/>
  <c r="BJ57" i="36" s="1"/>
  <c r="C19" i="36"/>
  <c r="DB219" i="36" s="1"/>
  <c r="E20" i="24"/>
  <c r="E21" i="24"/>
  <c r="C21" i="24"/>
  <c r="DB221" i="24" s="1"/>
  <c r="C22" i="36"/>
  <c r="DB222" i="36" s="1"/>
  <c r="E22" i="24"/>
  <c r="E23" i="24"/>
  <c r="DD223" i="24" s="1"/>
  <c r="E24" i="24"/>
  <c r="C25" i="36"/>
  <c r="DB225" i="36" s="1"/>
  <c r="E25" i="24"/>
  <c r="C25" i="24"/>
  <c r="DB225" i="24" s="1"/>
  <c r="C25" i="34"/>
  <c r="C25" i="35"/>
  <c r="E26" i="24"/>
  <c r="C26" i="35"/>
  <c r="DB226" i="35" s="1"/>
  <c r="E27" i="24"/>
  <c r="DD227" i="24" s="1"/>
  <c r="E28" i="24"/>
  <c r="C29" i="36"/>
  <c r="DB229" i="36" s="1"/>
  <c r="E29" i="24"/>
  <c r="DD229" i="24" s="1"/>
  <c r="C29" i="24"/>
  <c r="C29" i="34"/>
  <c r="DB229" i="34" s="1"/>
  <c r="C29" i="35"/>
  <c r="E30" i="24"/>
  <c r="DD230" i="24" s="1"/>
  <c r="BX28" i="35"/>
  <c r="BZ28" i="35"/>
  <c r="J3" i="36"/>
  <c r="BY1" i="36"/>
  <c r="AL3" i="36"/>
  <c r="AL3" i="35"/>
  <c r="AL3" i="34"/>
  <c r="BF29" i="36"/>
  <c r="BE1" i="36"/>
  <c r="AL3" i="24"/>
  <c r="BV14" i="35"/>
  <c r="J3" i="35"/>
  <c r="BF29" i="35"/>
  <c r="BF25" i="35"/>
  <c r="BF27" i="35" s="1"/>
  <c r="BE1" i="35"/>
  <c r="J3" i="34"/>
  <c r="BF29" i="34"/>
  <c r="CB28" i="24"/>
  <c r="CD28" i="24"/>
  <c r="BT28" i="24"/>
  <c r="BV28" i="24"/>
  <c r="BX28" i="24"/>
  <c r="BZ28" i="24"/>
  <c r="J3" i="24"/>
  <c r="BY1" i="24"/>
  <c r="U4" i="51"/>
  <c r="BE51" i="24"/>
  <c r="BE52" i="24"/>
  <c r="D2" i="52"/>
  <c r="D3" i="52"/>
  <c r="D4" i="52"/>
  <c r="A4" i="52"/>
  <c r="E11" i="51"/>
  <c r="DD211" i="51" s="1"/>
  <c r="E12" i="51"/>
  <c r="DD212" i="51" s="1"/>
  <c r="E13" i="51"/>
  <c r="DD213" i="51" s="1"/>
  <c r="E14" i="51"/>
  <c r="DD214" i="51" s="1"/>
  <c r="E15" i="51"/>
  <c r="DD215" i="51" s="1"/>
  <c r="E16" i="51"/>
  <c r="DD216" i="51" s="1"/>
  <c r="E17" i="51"/>
  <c r="DD217" i="51" s="1"/>
  <c r="E18" i="51"/>
  <c r="DD218" i="51" s="1"/>
  <c r="E19" i="51"/>
  <c r="DD219" i="51" s="1"/>
  <c r="E20" i="51"/>
  <c r="DD220" i="51" s="1"/>
  <c r="E21" i="51"/>
  <c r="DD221" i="51" s="1"/>
  <c r="E22" i="51"/>
  <c r="DD222" i="51" s="1"/>
  <c r="E23" i="51"/>
  <c r="DD223" i="51" s="1"/>
  <c r="E24" i="51"/>
  <c r="DD224" i="51" s="1"/>
  <c r="E25" i="51"/>
  <c r="DD225" i="51" s="1"/>
  <c r="E26" i="51"/>
  <c r="DD226" i="51" s="1"/>
  <c r="E27" i="51"/>
  <c r="DD227" i="51" s="1"/>
  <c r="E28" i="51"/>
  <c r="DD228" i="51" s="1"/>
  <c r="E29" i="51"/>
  <c r="DD229" i="51" s="1"/>
  <c r="E30" i="51"/>
  <c r="DD230" i="51" s="1"/>
  <c r="J3" i="51"/>
  <c r="E34" i="51"/>
  <c r="A3" i="3"/>
  <c r="AZ3" i="46" s="1"/>
  <c r="Z24" i="50"/>
  <c r="Z32" i="50"/>
  <c r="AO88" i="50"/>
  <c r="AQ88" i="50"/>
  <c r="AR88" i="50"/>
  <c r="AQ42" i="50"/>
  <c r="AQ43" i="50" s="1"/>
  <c r="AQ39" i="50"/>
  <c r="AP39" i="50"/>
  <c r="AO39" i="50"/>
  <c r="AN39" i="50"/>
  <c r="AM39" i="50"/>
  <c r="AL39" i="50"/>
  <c r="AL40" i="50" s="1"/>
  <c r="Z28" i="49"/>
  <c r="AJ62" i="49" s="1"/>
  <c r="Z29" i="49"/>
  <c r="Z32" i="49"/>
  <c r="AO88" i="49"/>
  <c r="AQ88" i="49"/>
  <c r="AR88" i="49"/>
  <c r="AQ42" i="49"/>
  <c r="AQ43" i="49" s="1"/>
  <c r="AQ39" i="49"/>
  <c r="AP39" i="49"/>
  <c r="AO39" i="49"/>
  <c r="AN39" i="49"/>
  <c r="AM39" i="49"/>
  <c r="AL39" i="49"/>
  <c r="AL40" i="49" s="1"/>
  <c r="AL41" i="49" s="1"/>
  <c r="Z24" i="48"/>
  <c r="AJ58" i="48" s="1"/>
  <c r="Z28" i="48"/>
  <c r="Z32" i="48"/>
  <c r="AE32" i="48" s="1"/>
  <c r="AF32" i="48" s="1"/>
  <c r="AG32" i="48" s="1"/>
  <c r="AO88" i="48"/>
  <c r="AQ88" i="48"/>
  <c r="AR88" i="48"/>
  <c r="AJ66" i="48"/>
  <c r="AQ42" i="48"/>
  <c r="AQ43" i="48"/>
  <c r="AQ39" i="48"/>
  <c r="AP39" i="48"/>
  <c r="AO39" i="48"/>
  <c r="AN39" i="48"/>
  <c r="AM39" i="48"/>
  <c r="AL39" i="48"/>
  <c r="AL40" i="48" s="1"/>
  <c r="AL41" i="48" s="1"/>
  <c r="Z24" i="47"/>
  <c r="AJ58" i="47" s="1"/>
  <c r="Z28" i="47"/>
  <c r="Z29" i="47"/>
  <c r="AJ63" i="47" s="1"/>
  <c r="Z32" i="47"/>
  <c r="AE32" i="47" s="1"/>
  <c r="AF32" i="47" s="1"/>
  <c r="AG32" i="47" s="1"/>
  <c r="AO88" i="47"/>
  <c r="AQ88" i="47"/>
  <c r="AR88" i="47"/>
  <c r="AQ42" i="47"/>
  <c r="AQ43" i="47"/>
  <c r="AQ39" i="47"/>
  <c r="AP39" i="47"/>
  <c r="AO39" i="47"/>
  <c r="AN39" i="47"/>
  <c r="AM39" i="47"/>
  <c r="AL39" i="47"/>
  <c r="AL40" i="47" s="1"/>
  <c r="Z24" i="46"/>
  <c r="Z28" i="46"/>
  <c r="Z32" i="46"/>
  <c r="AE32" i="46" s="1"/>
  <c r="AF32" i="46" s="1"/>
  <c r="AG32" i="46" s="1"/>
  <c r="AO88" i="46"/>
  <c r="AQ88" i="46"/>
  <c r="AR88" i="46"/>
  <c r="AQ42" i="46"/>
  <c r="AQ43" i="46"/>
  <c r="AQ39" i="46"/>
  <c r="AP39" i="46"/>
  <c r="AO39" i="46"/>
  <c r="AN39" i="46"/>
  <c r="AM39" i="46"/>
  <c r="AL39" i="46"/>
  <c r="AL40" i="46"/>
  <c r="Z28" i="45"/>
  <c r="AJ62" i="45" s="1"/>
  <c r="Z29" i="45"/>
  <c r="Z32" i="45"/>
  <c r="AJ66" i="45" s="1"/>
  <c r="AO88" i="45"/>
  <c r="AQ88" i="45"/>
  <c r="AR88" i="45"/>
  <c r="AQ42" i="45"/>
  <c r="AQ43" i="45"/>
  <c r="AQ39" i="45"/>
  <c r="AP39" i="45"/>
  <c r="AO39" i="45"/>
  <c r="AN39" i="45"/>
  <c r="AM39" i="45"/>
  <c r="AL39" i="45"/>
  <c r="AL40" i="45" s="1"/>
  <c r="Z28" i="44"/>
  <c r="AJ62" i="44" s="1"/>
  <c r="Z29" i="44"/>
  <c r="Z32" i="44"/>
  <c r="AJ66" i="44" s="1"/>
  <c r="AO88" i="44"/>
  <c r="AQ88" i="44"/>
  <c r="AR88" i="44"/>
  <c r="AQ42" i="44"/>
  <c r="AQ43" i="44" s="1"/>
  <c r="AQ39" i="44"/>
  <c r="AP39" i="44"/>
  <c r="AO39" i="44"/>
  <c r="AN39" i="44"/>
  <c r="AM39" i="44"/>
  <c r="AL39" i="44"/>
  <c r="AL40" i="44" s="1"/>
  <c r="Z22" i="43"/>
  <c r="Z28" i="43"/>
  <c r="Z32" i="43"/>
  <c r="AJ66" i="43" s="1"/>
  <c r="AO88" i="43"/>
  <c r="AQ88" i="43"/>
  <c r="AR88" i="43"/>
  <c r="AQ42" i="43"/>
  <c r="AQ43" i="43" s="1"/>
  <c r="AQ39" i="43"/>
  <c r="AP39" i="43"/>
  <c r="AO39" i="43"/>
  <c r="AN39" i="43"/>
  <c r="AM39" i="43"/>
  <c r="AL39" i="43"/>
  <c r="AL40" i="43" s="1"/>
  <c r="AL41" i="43" s="1"/>
  <c r="Z28" i="41"/>
  <c r="Z32" i="41"/>
  <c r="Z33" i="41"/>
  <c r="AO88" i="41"/>
  <c r="AQ88" i="41"/>
  <c r="AR88" i="41"/>
  <c r="AT88" i="41" s="1"/>
  <c r="AQ42" i="41"/>
  <c r="AQ43" i="41"/>
  <c r="AQ39" i="41"/>
  <c r="AP39" i="41"/>
  <c r="AO39" i="41"/>
  <c r="AN39" i="41"/>
  <c r="AM39" i="41"/>
  <c r="AL39" i="41"/>
  <c r="AL40" i="41"/>
  <c r="Z28" i="40"/>
  <c r="Z29" i="40"/>
  <c r="AJ63" i="40" s="1"/>
  <c r="Z32" i="40"/>
  <c r="AE32" i="40" s="1"/>
  <c r="AF32" i="40" s="1"/>
  <c r="AG32" i="40" s="1"/>
  <c r="AO88" i="40"/>
  <c r="AQ88" i="40"/>
  <c r="AR88" i="40"/>
  <c r="AQ42" i="40"/>
  <c r="AQ43" i="40" s="1"/>
  <c r="AQ39" i="40"/>
  <c r="AP39" i="40"/>
  <c r="AO39" i="40"/>
  <c r="AN39" i="40"/>
  <c r="AM39" i="40"/>
  <c r="AL39" i="40"/>
  <c r="AL40" i="40" s="1"/>
  <c r="Z28" i="39"/>
  <c r="AJ62" i="39" s="1"/>
  <c r="Z29" i="39"/>
  <c r="AJ63" i="39" s="1"/>
  <c r="Z32" i="39"/>
  <c r="AO88" i="39"/>
  <c r="AQ88" i="39"/>
  <c r="AR88" i="39"/>
  <c r="AQ42" i="39"/>
  <c r="AQ43" i="39"/>
  <c r="AQ39" i="39"/>
  <c r="AP39" i="39"/>
  <c r="AO39" i="39"/>
  <c r="AN39" i="39"/>
  <c r="AM39" i="39"/>
  <c r="AL39" i="39"/>
  <c r="AL40" i="39" s="1"/>
  <c r="N7" i="37"/>
  <c r="BE49" i="37"/>
  <c r="BE50" i="37"/>
  <c r="BE51" i="37"/>
  <c r="BE52" i="37"/>
  <c r="Z21" i="38"/>
  <c r="AJ55" i="38" s="1"/>
  <c r="Z28" i="38"/>
  <c r="Z29" i="38"/>
  <c r="Z32" i="38"/>
  <c r="AE32" i="38" s="1"/>
  <c r="AF32" i="38" s="1"/>
  <c r="AG32" i="38" s="1"/>
  <c r="Z33" i="38"/>
  <c r="AE33" i="38"/>
  <c r="AF33" i="38" s="1"/>
  <c r="AG33" i="38" s="1"/>
  <c r="AO88" i="38"/>
  <c r="AQ88" i="38"/>
  <c r="AR88" i="38"/>
  <c r="AJ67" i="38"/>
  <c r="AQ42" i="38"/>
  <c r="AQ43" i="38" s="1"/>
  <c r="AQ39" i="38"/>
  <c r="AP39" i="38"/>
  <c r="AO39" i="38"/>
  <c r="AN39" i="38"/>
  <c r="AM39" i="38"/>
  <c r="AL39" i="38"/>
  <c r="AL40" i="38" s="1"/>
  <c r="Z28" i="37"/>
  <c r="Z29" i="37"/>
  <c r="Z32" i="37"/>
  <c r="Z33" i="37"/>
  <c r="AO88" i="37"/>
  <c r="AQ88" i="37"/>
  <c r="AR88" i="37"/>
  <c r="AQ42" i="37"/>
  <c r="AQ43" i="37" s="1"/>
  <c r="AQ39" i="37"/>
  <c r="AP39" i="37"/>
  <c r="AO39" i="37"/>
  <c r="AN39" i="37"/>
  <c r="AM39" i="37"/>
  <c r="AL39" i="37"/>
  <c r="AL40" i="37" s="1"/>
  <c r="AO88" i="36"/>
  <c r="AQ88" i="36"/>
  <c r="AR88" i="36"/>
  <c r="AQ42" i="36"/>
  <c r="AQ43" i="36" s="1"/>
  <c r="AQ39" i="36"/>
  <c r="AP39" i="36"/>
  <c r="AO39" i="36"/>
  <c r="AN39" i="36"/>
  <c r="AM39" i="36"/>
  <c r="AL39" i="36"/>
  <c r="AL40" i="36" s="1"/>
  <c r="BT8" i="34"/>
  <c r="BX8" i="34"/>
  <c r="BV8" i="34"/>
  <c r="BZ8" i="34"/>
  <c r="CB8" i="34"/>
  <c r="CD8" i="34"/>
  <c r="AA26" i="24"/>
  <c r="AK60" i="24" s="1"/>
  <c r="AL60" i="24" s="1"/>
  <c r="BT8" i="24"/>
  <c r="BV8" i="24"/>
  <c r="BX8" i="24"/>
  <c r="BZ8" i="24"/>
  <c r="CB8" i="24"/>
  <c r="CD8" i="24"/>
  <c r="BT9" i="24"/>
  <c r="BV9" i="24"/>
  <c r="BX9" i="24"/>
  <c r="BZ9" i="24"/>
  <c r="CB9" i="24"/>
  <c r="CD9" i="24"/>
  <c r="BT10" i="24"/>
  <c r="BV10" i="24"/>
  <c r="BX10" i="24"/>
  <c r="BZ10" i="24"/>
  <c r="CB10" i="24"/>
  <c r="CD10" i="24"/>
  <c r="BT11" i="24"/>
  <c r="BV11" i="24"/>
  <c r="BX11" i="24"/>
  <c r="BZ11" i="24"/>
  <c r="CB11" i="24"/>
  <c r="CD11" i="24"/>
  <c r="BT12" i="24"/>
  <c r="BV12" i="24"/>
  <c r="BX12" i="24"/>
  <c r="BZ12" i="24"/>
  <c r="CB12" i="24"/>
  <c r="CD12" i="24"/>
  <c r="BT13" i="24"/>
  <c r="BV13" i="24"/>
  <c r="BX13" i="24"/>
  <c r="BZ13" i="24"/>
  <c r="CB13" i="24"/>
  <c r="CD13" i="24"/>
  <c r="BT14" i="24"/>
  <c r="BV14" i="24"/>
  <c r="BX14" i="24"/>
  <c r="BZ14" i="24"/>
  <c r="CB14" i="24"/>
  <c r="CD14" i="24"/>
  <c r="BT15" i="24"/>
  <c r="BV15" i="24"/>
  <c r="BX15" i="24"/>
  <c r="BZ15" i="24"/>
  <c r="CB15" i="24"/>
  <c r="CD15" i="24"/>
  <c r="BT16" i="24"/>
  <c r="BV16" i="24"/>
  <c r="BX16" i="24"/>
  <c r="BZ16" i="24"/>
  <c r="CB16" i="24"/>
  <c r="CD16" i="24"/>
  <c r="BN58" i="24"/>
  <c r="BJ58" i="24" s="1"/>
  <c r="BT17" i="24"/>
  <c r="BV17" i="24"/>
  <c r="BX17" i="24"/>
  <c r="BZ17" i="24"/>
  <c r="CB17" i="24"/>
  <c r="CD17" i="24"/>
  <c r="BN59" i="24"/>
  <c r="BJ59" i="24" s="1"/>
  <c r="BT18" i="24"/>
  <c r="BV18" i="24"/>
  <c r="BX18" i="24"/>
  <c r="BZ18" i="24"/>
  <c r="CB18" i="24"/>
  <c r="CD18" i="24"/>
  <c r="BN60" i="24"/>
  <c r="BJ60" i="24" s="1"/>
  <c r="BT19" i="24"/>
  <c r="BV19" i="24"/>
  <c r="BX19" i="24"/>
  <c r="BZ19" i="24"/>
  <c r="CB19" i="24"/>
  <c r="CD19" i="24"/>
  <c r="BN61" i="24"/>
  <c r="BJ61" i="24" s="1"/>
  <c r="BT20" i="24"/>
  <c r="BV20" i="24"/>
  <c r="BX20" i="24"/>
  <c r="BZ20" i="24"/>
  <c r="CB20" i="24"/>
  <c r="CD20" i="24"/>
  <c r="BE49" i="34"/>
  <c r="BE50" i="34"/>
  <c r="BT9" i="34"/>
  <c r="BX9" i="34"/>
  <c r="BV9" i="34"/>
  <c r="BZ9" i="34"/>
  <c r="CB9" i="34"/>
  <c r="CD9" i="34"/>
  <c r="BT10" i="34"/>
  <c r="BX10" i="34"/>
  <c r="BV10" i="34"/>
  <c r="BZ10" i="34"/>
  <c r="CB10" i="34"/>
  <c r="CD10" i="34"/>
  <c r="BT11" i="34"/>
  <c r="BX11" i="34"/>
  <c r="BV11" i="34"/>
  <c r="BZ11" i="34"/>
  <c r="CB11" i="34"/>
  <c r="CD11" i="34"/>
  <c r="BT12" i="34"/>
  <c r="BX12" i="34"/>
  <c r="BV12" i="34"/>
  <c r="BZ12" i="34"/>
  <c r="CB12" i="34"/>
  <c r="CD12" i="34"/>
  <c r="BT13" i="34"/>
  <c r="BX13" i="34"/>
  <c r="BV13" i="34"/>
  <c r="BZ13" i="34"/>
  <c r="CB13" i="34"/>
  <c r="CD13" i="34"/>
  <c r="BT14" i="34"/>
  <c r="BX14" i="34"/>
  <c r="BV14" i="34"/>
  <c r="BZ14" i="34"/>
  <c r="CB14" i="34"/>
  <c r="CD14" i="34"/>
  <c r="BT15" i="34"/>
  <c r="BX15" i="34"/>
  <c r="BV15" i="34"/>
  <c r="BZ15" i="34"/>
  <c r="CB15" i="34"/>
  <c r="CD15" i="34"/>
  <c r="BT16" i="34"/>
  <c r="BX16" i="34"/>
  <c r="BV16" i="34"/>
  <c r="BZ16" i="34"/>
  <c r="CB16" i="34"/>
  <c r="CD16" i="34"/>
  <c r="BT17" i="34"/>
  <c r="BX17" i="34"/>
  <c r="BV17" i="34"/>
  <c r="BZ17" i="34"/>
  <c r="CB17" i="34"/>
  <c r="CD17" i="34"/>
  <c r="BN56" i="34"/>
  <c r="BJ56" i="34" s="1"/>
  <c r="BX18" i="34"/>
  <c r="BT18" i="34"/>
  <c r="BV18" i="34"/>
  <c r="BZ18" i="34"/>
  <c r="CB18" i="34"/>
  <c r="CD18" i="34"/>
  <c r="BN57" i="34"/>
  <c r="BJ57" i="34" s="1"/>
  <c r="BX19" i="34"/>
  <c r="BT19" i="34"/>
  <c r="BV19" i="34"/>
  <c r="BZ19" i="34"/>
  <c r="CB19" i="34"/>
  <c r="CD19" i="34"/>
  <c r="BN58" i="34"/>
  <c r="BJ58" i="34" s="1"/>
  <c r="BX20" i="34"/>
  <c r="BT20" i="34"/>
  <c r="BV20" i="34"/>
  <c r="BZ20" i="34"/>
  <c r="CB20" i="34"/>
  <c r="CD20" i="34"/>
  <c r="BN59" i="34"/>
  <c r="BJ59" i="34" s="1"/>
  <c r="AO88" i="35"/>
  <c r="AQ88" i="35"/>
  <c r="AR88" i="35"/>
  <c r="AQ42" i="35"/>
  <c r="AQ43" i="35"/>
  <c r="AQ39" i="35"/>
  <c r="AP39" i="35"/>
  <c r="AO39" i="35"/>
  <c r="AN39" i="35"/>
  <c r="AM39" i="35"/>
  <c r="AL39" i="35"/>
  <c r="AL40" i="35" s="1"/>
  <c r="AM40" i="35" s="1"/>
  <c r="AL42" i="35" s="1"/>
  <c r="AL43" i="35" s="1"/>
  <c r="AL41" i="35"/>
  <c r="AO88" i="34"/>
  <c r="AQ88" i="34"/>
  <c r="AR88" i="34"/>
  <c r="AQ42" i="34"/>
  <c r="AQ43" i="34" s="1"/>
  <c r="AQ39" i="34"/>
  <c r="AP39" i="34"/>
  <c r="AO39" i="34"/>
  <c r="AN39" i="34"/>
  <c r="AM39" i="34"/>
  <c r="AL39" i="34"/>
  <c r="AL40" i="34" s="1"/>
  <c r="AL41" i="34" s="1"/>
  <c r="AA30" i="24"/>
  <c r="AK64" i="24" s="1"/>
  <c r="AL64" i="24" s="1"/>
  <c r="AA32" i="24"/>
  <c r="AA33" i="24"/>
  <c r="AK67" i="24" s="1"/>
  <c r="AL67" i="24" s="1"/>
  <c r="AO88" i="24"/>
  <c r="AQ88" i="24"/>
  <c r="AR88" i="24"/>
  <c r="I80" i="44"/>
  <c r="BG26" i="43"/>
  <c r="BI69" i="43" s="1"/>
  <c r="BT28" i="43"/>
  <c r="BV28" i="43"/>
  <c r="BX28" i="43"/>
  <c r="BZ28" i="43"/>
  <c r="CB28" i="43"/>
  <c r="CD28" i="43"/>
  <c r="C75" i="43"/>
  <c r="C72" i="43"/>
  <c r="C71" i="43"/>
  <c r="BF25" i="43"/>
  <c r="BC18" i="43" s="1"/>
  <c r="BC19" i="43" s="1"/>
  <c r="BN61" i="43"/>
  <c r="BJ61" i="43" s="1"/>
  <c r="BE49" i="43"/>
  <c r="BE50" i="43"/>
  <c r="BE51" i="43"/>
  <c r="BE52" i="43"/>
  <c r="BT20" i="43"/>
  <c r="BV20" i="43"/>
  <c r="BX20" i="43"/>
  <c r="BZ20" i="43"/>
  <c r="CB20" i="43"/>
  <c r="CD20" i="43"/>
  <c r="BN60" i="43"/>
  <c r="BJ60" i="43" s="1"/>
  <c r="BT19" i="43"/>
  <c r="BV19" i="43"/>
  <c r="BX19" i="43"/>
  <c r="BZ19" i="43"/>
  <c r="CB19" i="43"/>
  <c r="CD19" i="43"/>
  <c r="BN59" i="43"/>
  <c r="BJ59" i="43" s="1"/>
  <c r="BT18" i="43"/>
  <c r="BV18" i="43"/>
  <c r="BX18" i="43"/>
  <c r="BZ18" i="43"/>
  <c r="CB18" i="43"/>
  <c r="CD18" i="43"/>
  <c r="BN58" i="43"/>
  <c r="BJ58" i="43" s="1"/>
  <c r="BT17" i="43"/>
  <c r="BV17" i="43"/>
  <c r="BX17" i="43"/>
  <c r="BZ17" i="43"/>
  <c r="CB17" i="43"/>
  <c r="CD17" i="43"/>
  <c r="BN57" i="43"/>
  <c r="BJ57" i="43" s="1"/>
  <c r="BT16" i="43"/>
  <c r="BV16" i="43"/>
  <c r="BX16" i="43"/>
  <c r="BZ16" i="43"/>
  <c r="CB16" i="43"/>
  <c r="CD16" i="43"/>
  <c r="BN56" i="43"/>
  <c r="BJ56" i="43" s="1"/>
  <c r="BT15" i="43"/>
  <c r="BV15" i="43"/>
  <c r="BX15" i="43"/>
  <c r="BZ15" i="43"/>
  <c r="CB15" i="43"/>
  <c r="CD15" i="43"/>
  <c r="BN55" i="43"/>
  <c r="BJ55" i="43" s="1"/>
  <c r="BT14" i="43"/>
  <c r="BV14" i="43"/>
  <c r="BX14" i="43"/>
  <c r="BZ14" i="43"/>
  <c r="CB14" i="43"/>
  <c r="CD14" i="43"/>
  <c r="BN54" i="43"/>
  <c r="BJ54" i="43" s="1"/>
  <c r="BT13" i="43"/>
  <c r="BV13" i="43"/>
  <c r="BX13" i="43"/>
  <c r="BZ13" i="43"/>
  <c r="CB13" i="43"/>
  <c r="CD13" i="43"/>
  <c r="BN53" i="43"/>
  <c r="BJ53" i="43" s="1"/>
  <c r="BT12" i="43"/>
  <c r="BV12" i="43"/>
  <c r="BX12" i="43"/>
  <c r="BZ12" i="43"/>
  <c r="CB12" i="43"/>
  <c r="CD12" i="43"/>
  <c r="BN52" i="43"/>
  <c r="BJ52" i="43" s="1"/>
  <c r="BT11" i="43"/>
  <c r="BV11" i="43"/>
  <c r="BX11" i="43"/>
  <c r="BZ11" i="43"/>
  <c r="CB11" i="43"/>
  <c r="CD11" i="43"/>
  <c r="BN51" i="43"/>
  <c r="BJ51" i="43" s="1"/>
  <c r="BT10" i="43"/>
  <c r="BV10" i="43"/>
  <c r="BX10" i="43"/>
  <c r="BZ10" i="43"/>
  <c r="CB10" i="43"/>
  <c r="CD10" i="43"/>
  <c r="BN50" i="43"/>
  <c r="BJ50" i="43" s="1"/>
  <c r="BT9" i="43"/>
  <c r="BV9" i="43"/>
  <c r="BX9" i="43"/>
  <c r="BZ9" i="43"/>
  <c r="CB9" i="43"/>
  <c r="CD9" i="43"/>
  <c r="BN49" i="43"/>
  <c r="BJ49" i="43" s="1"/>
  <c r="BT8" i="43"/>
  <c r="BV8" i="43"/>
  <c r="BX8" i="43"/>
  <c r="BZ8" i="43"/>
  <c r="CB8" i="43"/>
  <c r="CD8" i="43"/>
  <c r="K80" i="45"/>
  <c r="I80" i="45"/>
  <c r="BC31" i="44"/>
  <c r="BG26" i="44"/>
  <c r="BI69" i="44" s="1"/>
  <c r="BT28" i="44"/>
  <c r="BV28" i="44"/>
  <c r="BX28" i="44"/>
  <c r="BZ28" i="44"/>
  <c r="CB28" i="44"/>
  <c r="CD28" i="44"/>
  <c r="C76" i="44"/>
  <c r="J76" i="44" s="1"/>
  <c r="DE230" i="44" s="1"/>
  <c r="C75" i="44"/>
  <c r="J75" i="44" s="1"/>
  <c r="C72" i="44"/>
  <c r="C71" i="44"/>
  <c r="BF25" i="44"/>
  <c r="BC18" i="44" s="1"/>
  <c r="BC19" i="44" s="1"/>
  <c r="BN61" i="44"/>
  <c r="BJ61" i="44" s="1"/>
  <c r="BE49" i="44"/>
  <c r="BE50" i="44"/>
  <c r="BE51" i="44"/>
  <c r="BE52" i="44"/>
  <c r="BT20" i="44"/>
  <c r="BV20" i="44"/>
  <c r="BX20" i="44"/>
  <c r="BZ20" i="44"/>
  <c r="CB20" i="44"/>
  <c r="CD20" i="44"/>
  <c r="BN60" i="44"/>
  <c r="BJ60" i="44" s="1"/>
  <c r="BT19" i="44"/>
  <c r="BV19" i="44"/>
  <c r="BX19" i="44"/>
  <c r="BZ19" i="44"/>
  <c r="CB19" i="44"/>
  <c r="CD19" i="44"/>
  <c r="C67" i="44"/>
  <c r="BN59" i="44"/>
  <c r="BJ59" i="44" s="1"/>
  <c r="BT18" i="44"/>
  <c r="BV18" i="44"/>
  <c r="BX18" i="44"/>
  <c r="BZ18" i="44"/>
  <c r="CB18" i="44"/>
  <c r="CD18" i="44"/>
  <c r="BN58" i="44"/>
  <c r="BJ58" i="44" s="1"/>
  <c r="BT17" i="44"/>
  <c r="BV17" i="44"/>
  <c r="BX17" i="44"/>
  <c r="BZ17" i="44"/>
  <c r="CB17" i="44"/>
  <c r="CD17" i="44"/>
  <c r="BN57" i="44"/>
  <c r="BJ57" i="44" s="1"/>
  <c r="BT16" i="44"/>
  <c r="BV16" i="44"/>
  <c r="BX16" i="44"/>
  <c r="BZ16" i="44"/>
  <c r="CB16" i="44"/>
  <c r="CD16" i="44"/>
  <c r="BN56" i="44"/>
  <c r="BJ56" i="44" s="1"/>
  <c r="BT15" i="44"/>
  <c r="BV15" i="44"/>
  <c r="BX15" i="44"/>
  <c r="BZ15" i="44"/>
  <c r="CB15" i="44"/>
  <c r="CD15" i="44"/>
  <c r="BN55" i="44"/>
  <c r="BJ55" i="44" s="1"/>
  <c r="BT14" i="44"/>
  <c r="BV14" i="44"/>
  <c r="BX14" i="44"/>
  <c r="BZ14" i="44"/>
  <c r="CB14" i="44"/>
  <c r="CD14" i="44"/>
  <c r="BN54" i="44"/>
  <c r="BJ54" i="44" s="1"/>
  <c r="BT13" i="44"/>
  <c r="BV13" i="44"/>
  <c r="BX13" i="44"/>
  <c r="BZ13" i="44"/>
  <c r="CB13" i="44"/>
  <c r="CD13" i="44"/>
  <c r="BN53" i="44"/>
  <c r="BJ53" i="44" s="1"/>
  <c r="BT12" i="44"/>
  <c r="BV12" i="44"/>
  <c r="BX12" i="44"/>
  <c r="BZ12" i="44"/>
  <c r="CB12" i="44"/>
  <c r="CD12" i="44"/>
  <c r="BN52" i="44"/>
  <c r="BJ52" i="44" s="1"/>
  <c r="BT11" i="44"/>
  <c r="BV11" i="44"/>
  <c r="BX11" i="44"/>
  <c r="BZ11" i="44"/>
  <c r="CB11" i="44"/>
  <c r="CD11" i="44"/>
  <c r="BN51" i="44"/>
  <c r="BJ51" i="44" s="1"/>
  <c r="BT10" i="44"/>
  <c r="BV10" i="44"/>
  <c r="BX10" i="44"/>
  <c r="BZ10" i="44"/>
  <c r="CB10" i="44"/>
  <c r="CD10" i="44"/>
  <c r="BN50" i="44"/>
  <c r="BJ50" i="44" s="1"/>
  <c r="BT9" i="44"/>
  <c r="BV9" i="44"/>
  <c r="BX9" i="44"/>
  <c r="BZ9" i="44"/>
  <c r="CB9" i="44"/>
  <c r="CD9" i="44"/>
  <c r="BN49" i="44"/>
  <c r="BJ49" i="44" s="1"/>
  <c r="BT8" i="44"/>
  <c r="BV8" i="44"/>
  <c r="BX8" i="44"/>
  <c r="BZ8" i="44"/>
  <c r="CB8" i="44"/>
  <c r="CD8" i="44"/>
  <c r="J53" i="45"/>
  <c r="M80" i="46"/>
  <c r="K80" i="46"/>
  <c r="I80" i="46"/>
  <c r="BF25" i="45"/>
  <c r="BC18" i="45" s="1"/>
  <c r="BC19" i="45" s="1"/>
  <c r="BC31" i="45"/>
  <c r="BG26" i="45"/>
  <c r="BI69" i="45" s="1"/>
  <c r="BT28" i="45"/>
  <c r="BV28" i="45"/>
  <c r="BX28" i="45"/>
  <c r="BZ28" i="45"/>
  <c r="CB28" i="45"/>
  <c r="CD28" i="45"/>
  <c r="C76" i="45"/>
  <c r="BJ24" i="45" s="1"/>
  <c r="C75" i="45"/>
  <c r="C72" i="45"/>
  <c r="C71" i="45"/>
  <c r="BN61" i="45"/>
  <c r="BJ61" i="45" s="1"/>
  <c r="BE49" i="45"/>
  <c r="BE50" i="45"/>
  <c r="BE51" i="45"/>
  <c r="BE52" i="45"/>
  <c r="BT20" i="45"/>
  <c r="BV20" i="45"/>
  <c r="BX20" i="45"/>
  <c r="BZ20" i="45"/>
  <c r="CB20" i="45"/>
  <c r="CD20" i="45"/>
  <c r="BN60" i="45"/>
  <c r="BJ60" i="45" s="1"/>
  <c r="BT19" i="45"/>
  <c r="BV19" i="45"/>
  <c r="BX19" i="45"/>
  <c r="BZ19" i="45"/>
  <c r="CB19" i="45"/>
  <c r="CD19" i="45"/>
  <c r="BN59" i="45"/>
  <c r="BJ59" i="45" s="1"/>
  <c r="BT18" i="45"/>
  <c r="BV18" i="45"/>
  <c r="BX18" i="45"/>
  <c r="BZ18" i="45"/>
  <c r="CB18" i="45"/>
  <c r="CD18" i="45"/>
  <c r="BN58" i="45"/>
  <c r="BJ58" i="45" s="1"/>
  <c r="BT17" i="45"/>
  <c r="BV17" i="45"/>
  <c r="BX17" i="45"/>
  <c r="BZ17" i="45"/>
  <c r="CB17" i="45"/>
  <c r="CD17" i="45"/>
  <c r="BN57" i="45"/>
  <c r="BJ57" i="45" s="1"/>
  <c r="BT16" i="45"/>
  <c r="BV16" i="45"/>
  <c r="BX16" i="45"/>
  <c r="BZ16" i="45"/>
  <c r="CB16" i="45"/>
  <c r="CD16" i="45"/>
  <c r="BN56" i="45"/>
  <c r="BJ56" i="45" s="1"/>
  <c r="BT15" i="45"/>
  <c r="BV15" i="45"/>
  <c r="BX15" i="45"/>
  <c r="BZ15" i="45"/>
  <c r="CB15" i="45"/>
  <c r="CD15" i="45"/>
  <c r="BN55" i="45"/>
  <c r="BJ55" i="45" s="1"/>
  <c r="BT14" i="45"/>
  <c r="BV14" i="45"/>
  <c r="BX14" i="45"/>
  <c r="BZ14" i="45"/>
  <c r="CB14" i="45"/>
  <c r="CD14" i="45"/>
  <c r="BN54" i="45"/>
  <c r="BJ54" i="45" s="1"/>
  <c r="BT13" i="45"/>
  <c r="BV13" i="45"/>
  <c r="BX13" i="45"/>
  <c r="BZ13" i="45"/>
  <c r="CB13" i="45"/>
  <c r="CD13" i="45"/>
  <c r="BN53" i="45"/>
  <c r="BJ53" i="45" s="1"/>
  <c r="BT12" i="45"/>
  <c r="BV12" i="45"/>
  <c r="BX12" i="45"/>
  <c r="BZ12" i="45"/>
  <c r="CB12" i="45"/>
  <c r="CD12" i="45"/>
  <c r="BN52" i="45"/>
  <c r="BJ52" i="45" s="1"/>
  <c r="BT11" i="45"/>
  <c r="BV11" i="45"/>
  <c r="BX11" i="45"/>
  <c r="BZ11" i="45"/>
  <c r="CB11" i="45"/>
  <c r="CD11" i="45"/>
  <c r="BN51" i="45"/>
  <c r="BJ51" i="45" s="1"/>
  <c r="BT10" i="45"/>
  <c r="BV10" i="45"/>
  <c r="BX10" i="45"/>
  <c r="BZ10" i="45"/>
  <c r="CB10" i="45"/>
  <c r="CD10" i="45"/>
  <c r="BN50" i="45"/>
  <c r="BJ50" i="45" s="1"/>
  <c r="BT9" i="45"/>
  <c r="BV9" i="45"/>
  <c r="BX9" i="45"/>
  <c r="BZ9" i="45"/>
  <c r="CB9" i="45"/>
  <c r="CD9" i="45"/>
  <c r="BN49" i="45"/>
  <c r="BJ49" i="45" s="1"/>
  <c r="BT8" i="45"/>
  <c r="BV8" i="45"/>
  <c r="BX8" i="45"/>
  <c r="BZ8" i="45"/>
  <c r="CB8" i="45"/>
  <c r="CD8" i="45"/>
  <c r="L53" i="45"/>
  <c r="J53" i="46"/>
  <c r="O80" i="47"/>
  <c r="M80" i="47"/>
  <c r="K80" i="47"/>
  <c r="I80" i="47"/>
  <c r="BC31" i="46"/>
  <c r="BG26" i="46"/>
  <c r="BI69" i="46" s="1"/>
  <c r="BT28" i="46"/>
  <c r="BV28" i="46"/>
  <c r="BX28" i="46"/>
  <c r="BZ28" i="46"/>
  <c r="CB28" i="46"/>
  <c r="CD28" i="46"/>
  <c r="C76" i="46"/>
  <c r="C75" i="46"/>
  <c r="C72" i="46"/>
  <c r="C71" i="46"/>
  <c r="BF25" i="46"/>
  <c r="BC18" i="46" s="1"/>
  <c r="BC19" i="46" s="1"/>
  <c r="BN61" i="46"/>
  <c r="BJ61" i="46" s="1"/>
  <c r="BE49" i="46"/>
  <c r="BE50" i="46"/>
  <c r="BE51" i="46"/>
  <c r="BE52" i="46"/>
  <c r="BT20" i="46"/>
  <c r="BV20" i="46"/>
  <c r="BX20" i="46"/>
  <c r="BZ20" i="46"/>
  <c r="CB20" i="46"/>
  <c r="CD20" i="46"/>
  <c r="BN60" i="46"/>
  <c r="BJ60" i="46" s="1"/>
  <c r="BT19" i="46"/>
  <c r="BV19" i="46"/>
  <c r="BX19" i="46"/>
  <c r="BZ19" i="46"/>
  <c r="CB19" i="46"/>
  <c r="CD19" i="46"/>
  <c r="BN59" i="46"/>
  <c r="BJ59" i="46" s="1"/>
  <c r="BT18" i="46"/>
  <c r="BV18" i="46"/>
  <c r="BX18" i="46"/>
  <c r="BZ18" i="46"/>
  <c r="CB18" i="46"/>
  <c r="CD18" i="46"/>
  <c r="BN58" i="46"/>
  <c r="BJ58" i="46" s="1"/>
  <c r="BT17" i="46"/>
  <c r="BV17" i="46"/>
  <c r="BX17" i="46"/>
  <c r="BZ17" i="46"/>
  <c r="CB17" i="46"/>
  <c r="CD17" i="46"/>
  <c r="BN57" i="46"/>
  <c r="BJ57" i="46" s="1"/>
  <c r="BT16" i="46"/>
  <c r="BV16" i="46"/>
  <c r="BX16" i="46"/>
  <c r="BZ16" i="46"/>
  <c r="CB16" i="46"/>
  <c r="CD16" i="46"/>
  <c r="BN56" i="46"/>
  <c r="BJ56" i="46" s="1"/>
  <c r="BT15" i="46"/>
  <c r="BV15" i="46"/>
  <c r="BX15" i="46"/>
  <c r="BZ15" i="46"/>
  <c r="CB15" i="46"/>
  <c r="CD15" i="46"/>
  <c r="BN55" i="46"/>
  <c r="BJ55" i="46" s="1"/>
  <c r="BT14" i="46"/>
  <c r="BV14" i="46"/>
  <c r="BX14" i="46"/>
  <c r="BZ14" i="46"/>
  <c r="CB14" i="46"/>
  <c r="CD14" i="46"/>
  <c r="BN54" i="46"/>
  <c r="BJ54" i="46" s="1"/>
  <c r="BT13" i="46"/>
  <c r="BV13" i="46"/>
  <c r="BX13" i="46"/>
  <c r="BZ13" i="46"/>
  <c r="CB13" i="46"/>
  <c r="CD13" i="46"/>
  <c r="BN53" i="46"/>
  <c r="BJ53" i="46" s="1"/>
  <c r="BT12" i="46"/>
  <c r="BV12" i="46"/>
  <c r="BX12" i="46"/>
  <c r="BZ12" i="46"/>
  <c r="CB12" i="46"/>
  <c r="CD12" i="46"/>
  <c r="BN52" i="46"/>
  <c r="BJ52" i="46" s="1"/>
  <c r="BT11" i="46"/>
  <c r="BV11" i="46"/>
  <c r="BX11" i="46"/>
  <c r="BZ11" i="46"/>
  <c r="CB11" i="46"/>
  <c r="CD11" i="46"/>
  <c r="BN51" i="46"/>
  <c r="BJ51" i="46" s="1"/>
  <c r="BT10" i="46"/>
  <c r="BV10" i="46"/>
  <c r="BX10" i="46"/>
  <c r="BZ10" i="46"/>
  <c r="CB10" i="46"/>
  <c r="CD10" i="46"/>
  <c r="BN50" i="46"/>
  <c r="BJ50" i="46" s="1"/>
  <c r="BT9" i="46"/>
  <c r="BV9" i="46"/>
  <c r="BX9" i="46"/>
  <c r="BZ9" i="46"/>
  <c r="CB9" i="46"/>
  <c r="CD9" i="46"/>
  <c r="BN49" i="46"/>
  <c r="BJ49" i="46" s="1"/>
  <c r="BT8" i="46"/>
  <c r="BV8" i="46"/>
  <c r="BX8" i="46"/>
  <c r="BZ8" i="46"/>
  <c r="CB8" i="46"/>
  <c r="CD8" i="46"/>
  <c r="N53" i="46"/>
  <c r="N54" i="46" s="1"/>
  <c r="J53" i="47"/>
  <c r="Q80" i="48"/>
  <c r="O80" i="48"/>
  <c r="M80" i="48"/>
  <c r="K80" i="48"/>
  <c r="I80" i="48"/>
  <c r="BC18" i="47"/>
  <c r="BC19" i="47" s="1"/>
  <c r="BC31" i="47"/>
  <c r="BG26" i="47"/>
  <c r="BI69" i="47" s="1"/>
  <c r="BT28" i="47"/>
  <c r="BV28" i="47"/>
  <c r="BX28" i="47"/>
  <c r="BZ28" i="47"/>
  <c r="CB28" i="47"/>
  <c r="CD28" i="47"/>
  <c r="C76" i="47"/>
  <c r="C75" i="47"/>
  <c r="P75" i="47" s="1"/>
  <c r="DE229" i="47" s="1"/>
  <c r="C72" i="47"/>
  <c r="C71" i="47"/>
  <c r="BN61" i="47"/>
  <c r="BJ61" i="47" s="1"/>
  <c r="BE49" i="47"/>
  <c r="BE50" i="47"/>
  <c r="BE51" i="47"/>
  <c r="BE52" i="47"/>
  <c r="BT20" i="47"/>
  <c r="BV20" i="47"/>
  <c r="BX20" i="47"/>
  <c r="BZ20" i="47"/>
  <c r="CB20" i="47"/>
  <c r="CD20" i="47"/>
  <c r="BN60" i="47"/>
  <c r="BJ60" i="47" s="1"/>
  <c r="BT19" i="47"/>
  <c r="BV19" i="47"/>
  <c r="BX19" i="47"/>
  <c r="BZ19" i="47"/>
  <c r="CB19" i="47"/>
  <c r="CD19" i="47"/>
  <c r="BN59" i="47"/>
  <c r="BJ59" i="47" s="1"/>
  <c r="BE15" i="47"/>
  <c r="BG59" i="47" s="1"/>
  <c r="BT18" i="47"/>
  <c r="BV18" i="47"/>
  <c r="BX18" i="47"/>
  <c r="BZ18" i="47"/>
  <c r="CB18" i="47"/>
  <c r="CD18" i="47"/>
  <c r="BN58" i="47"/>
  <c r="BJ58" i="47" s="1"/>
  <c r="BT17" i="47"/>
  <c r="BV17" i="47"/>
  <c r="BX17" i="47"/>
  <c r="BZ17" i="47"/>
  <c r="CB17" i="47"/>
  <c r="CD17" i="47"/>
  <c r="BN57" i="47"/>
  <c r="BJ57" i="47" s="1"/>
  <c r="BT16" i="47"/>
  <c r="BV16" i="47"/>
  <c r="BX16" i="47"/>
  <c r="BZ16" i="47"/>
  <c r="CB16" i="47"/>
  <c r="CD16" i="47"/>
  <c r="BN56" i="47"/>
  <c r="BJ56" i="47" s="1"/>
  <c r="BE12" i="47"/>
  <c r="BG56" i="47" s="1"/>
  <c r="BT15" i="47"/>
  <c r="BV15" i="47"/>
  <c r="BX15" i="47"/>
  <c r="BZ15" i="47"/>
  <c r="CB15" i="47"/>
  <c r="CD15" i="47"/>
  <c r="BN55" i="47"/>
  <c r="BJ55" i="47" s="1"/>
  <c r="BT14" i="47"/>
  <c r="BV14" i="47"/>
  <c r="BX14" i="47"/>
  <c r="BZ14" i="47"/>
  <c r="CB14" i="47"/>
  <c r="CD14" i="47"/>
  <c r="BN54" i="47"/>
  <c r="BJ54" i="47" s="1"/>
  <c r="BT13" i="47"/>
  <c r="BV13" i="47"/>
  <c r="BX13" i="47"/>
  <c r="BZ13" i="47"/>
  <c r="CB13" i="47"/>
  <c r="CD13" i="47"/>
  <c r="BN53" i="47"/>
  <c r="BJ53" i="47" s="1"/>
  <c r="BT12" i="47"/>
  <c r="BV12" i="47"/>
  <c r="BX12" i="47"/>
  <c r="BZ12" i="47"/>
  <c r="CB12" i="47"/>
  <c r="CD12" i="47"/>
  <c r="BN52" i="47"/>
  <c r="BJ52" i="47" s="1"/>
  <c r="BT11" i="47"/>
  <c r="BV11" i="47"/>
  <c r="BX11" i="47"/>
  <c r="BZ11" i="47"/>
  <c r="CB11" i="47"/>
  <c r="CD11" i="47"/>
  <c r="BN51" i="47"/>
  <c r="BJ51" i="47" s="1"/>
  <c r="BT10" i="47"/>
  <c r="BV10" i="47"/>
  <c r="BX10" i="47"/>
  <c r="BZ10" i="47"/>
  <c r="CB10" i="47"/>
  <c r="CD10" i="47"/>
  <c r="BN50" i="47"/>
  <c r="BJ50" i="47" s="1"/>
  <c r="BT9" i="47"/>
  <c r="BV9" i="47"/>
  <c r="BX9" i="47"/>
  <c r="BZ9" i="47"/>
  <c r="CB9" i="47"/>
  <c r="CD9" i="47"/>
  <c r="BN49" i="47"/>
  <c r="BJ49" i="47" s="1"/>
  <c r="BT8" i="47"/>
  <c r="BV8" i="47"/>
  <c r="BX8" i="47"/>
  <c r="BZ8" i="47"/>
  <c r="CB8" i="47"/>
  <c r="CD8" i="47"/>
  <c r="P53" i="47"/>
  <c r="J53" i="48"/>
  <c r="S80" i="49"/>
  <c r="Q80" i="49"/>
  <c r="O80" i="49"/>
  <c r="M80" i="49"/>
  <c r="K80" i="49"/>
  <c r="I80" i="49"/>
  <c r="BC31" i="48"/>
  <c r="BG26" i="48"/>
  <c r="BI69" i="48" s="1"/>
  <c r="BT28" i="48"/>
  <c r="BV28" i="48"/>
  <c r="BX28" i="48"/>
  <c r="BZ28" i="48"/>
  <c r="CB28" i="48"/>
  <c r="CD28" i="48"/>
  <c r="C76" i="48"/>
  <c r="C75" i="48"/>
  <c r="C72" i="48"/>
  <c r="C71" i="48"/>
  <c r="BF25" i="48"/>
  <c r="BC18" i="48" s="1"/>
  <c r="BC19" i="48"/>
  <c r="BN61" i="48"/>
  <c r="BJ61" i="48" s="1"/>
  <c r="BE49" i="48"/>
  <c r="BE50" i="48"/>
  <c r="BE51" i="48"/>
  <c r="BE52" i="48"/>
  <c r="BT20" i="48"/>
  <c r="BV20" i="48"/>
  <c r="BX20" i="48"/>
  <c r="BZ20" i="48"/>
  <c r="CB20" i="48"/>
  <c r="CD20" i="48"/>
  <c r="BN60" i="48"/>
  <c r="BJ60" i="48" s="1"/>
  <c r="BE16" i="48"/>
  <c r="BG60" i="48" s="1"/>
  <c r="BT19" i="48"/>
  <c r="BV19" i="48"/>
  <c r="BX19" i="48"/>
  <c r="BZ19" i="48"/>
  <c r="CB19" i="48"/>
  <c r="CD19" i="48"/>
  <c r="BN59" i="48"/>
  <c r="BJ59" i="48" s="1"/>
  <c r="BT18" i="48"/>
  <c r="BV18" i="48"/>
  <c r="BX18" i="48"/>
  <c r="BZ18" i="48"/>
  <c r="CB18" i="48"/>
  <c r="CD18" i="48"/>
  <c r="BN58" i="48"/>
  <c r="BJ58" i="48" s="1"/>
  <c r="BT17" i="48"/>
  <c r="BV17" i="48"/>
  <c r="BX17" i="48"/>
  <c r="BZ17" i="48"/>
  <c r="CB17" i="48"/>
  <c r="CD17" i="48"/>
  <c r="BN57" i="48"/>
  <c r="BJ57" i="48" s="1"/>
  <c r="BT16" i="48"/>
  <c r="BV16" i="48"/>
  <c r="BX16" i="48"/>
  <c r="BZ16" i="48"/>
  <c r="CB16" i="48"/>
  <c r="CD16" i="48"/>
  <c r="BN56" i="48"/>
  <c r="BJ56" i="48" s="1"/>
  <c r="BT15" i="48"/>
  <c r="BV15" i="48"/>
  <c r="BX15" i="48"/>
  <c r="BZ15" i="48"/>
  <c r="CB15" i="48"/>
  <c r="CD15" i="48"/>
  <c r="BN55" i="48"/>
  <c r="BJ55" i="48" s="1"/>
  <c r="BT14" i="48"/>
  <c r="BV14" i="48"/>
  <c r="BX14" i="48"/>
  <c r="BZ14" i="48"/>
  <c r="CB14" i="48"/>
  <c r="CD14" i="48"/>
  <c r="BN54" i="48"/>
  <c r="BJ54" i="48" s="1"/>
  <c r="BT13" i="48"/>
  <c r="BV13" i="48"/>
  <c r="BX13" i="48"/>
  <c r="BZ13" i="48"/>
  <c r="CB13" i="48"/>
  <c r="CD13" i="48"/>
  <c r="BN53" i="48"/>
  <c r="BJ53" i="48" s="1"/>
  <c r="BE9" i="48"/>
  <c r="BG53" i="48" s="1"/>
  <c r="BT12" i="48"/>
  <c r="BV12" i="48"/>
  <c r="BX12" i="48"/>
  <c r="BZ12" i="48"/>
  <c r="CB12" i="48"/>
  <c r="CD12" i="48"/>
  <c r="BN52" i="48"/>
  <c r="BJ52" i="48" s="1"/>
  <c r="BT11" i="48"/>
  <c r="BV11" i="48"/>
  <c r="BX11" i="48"/>
  <c r="BZ11" i="48"/>
  <c r="CB11" i="48"/>
  <c r="CD11" i="48"/>
  <c r="BN51" i="48"/>
  <c r="BJ51" i="48" s="1"/>
  <c r="BT10" i="48"/>
  <c r="BV10" i="48"/>
  <c r="BX10" i="48"/>
  <c r="BZ10" i="48"/>
  <c r="CB10" i="48"/>
  <c r="CD10" i="48"/>
  <c r="CE10" i="48"/>
  <c r="BN50" i="48"/>
  <c r="BJ50" i="48" s="1"/>
  <c r="BT9" i="48"/>
  <c r="BV9" i="48"/>
  <c r="BX9" i="48"/>
  <c r="BZ9" i="48"/>
  <c r="CB9" i="48"/>
  <c r="CD9" i="48"/>
  <c r="BN49" i="48"/>
  <c r="BJ49" i="48" s="1"/>
  <c r="BT8" i="48"/>
  <c r="BV8" i="48"/>
  <c r="BX8" i="48"/>
  <c r="BZ8" i="48"/>
  <c r="CB8" i="48"/>
  <c r="CD8" i="48"/>
  <c r="R53" i="48"/>
  <c r="R54" i="48" s="1"/>
  <c r="J53" i="49"/>
  <c r="I80" i="50"/>
  <c r="K80" i="50"/>
  <c r="M80" i="50"/>
  <c r="O80" i="50"/>
  <c r="Q80" i="50"/>
  <c r="S80" i="50"/>
  <c r="U80" i="50"/>
  <c r="BF25" i="49"/>
  <c r="BC18" i="49" s="1"/>
  <c r="BC19" i="49" s="1"/>
  <c r="BN50" i="49"/>
  <c r="BJ50" i="49" s="1"/>
  <c r="BE49" i="49"/>
  <c r="BE50" i="49"/>
  <c r="BE51" i="49"/>
  <c r="BE52" i="49"/>
  <c r="BT9" i="49"/>
  <c r="BV9" i="49"/>
  <c r="BX9" i="49"/>
  <c r="BZ9" i="49"/>
  <c r="CB9" i="49"/>
  <c r="CD9" i="49"/>
  <c r="BN51" i="49"/>
  <c r="BJ51" i="49" s="1"/>
  <c r="BT10" i="49"/>
  <c r="BV10" i="49"/>
  <c r="BX10" i="49"/>
  <c r="BZ10" i="49"/>
  <c r="CB10" i="49"/>
  <c r="CD10" i="49"/>
  <c r="BN52" i="49"/>
  <c r="BJ52" i="49" s="1"/>
  <c r="BT11" i="49"/>
  <c r="BV11" i="49"/>
  <c r="BX11" i="49"/>
  <c r="BZ11" i="49"/>
  <c r="CB11" i="49"/>
  <c r="CD11" i="49"/>
  <c r="BN53" i="49"/>
  <c r="BJ53" i="49" s="1"/>
  <c r="BE9" i="49"/>
  <c r="BG53" i="49" s="1"/>
  <c r="BT12" i="49"/>
  <c r="BV12" i="49"/>
  <c r="BX12" i="49"/>
  <c r="BZ12" i="49"/>
  <c r="CB12" i="49"/>
  <c r="CD12" i="49"/>
  <c r="BN54" i="49"/>
  <c r="BJ54" i="49" s="1"/>
  <c r="BT13" i="49"/>
  <c r="BV13" i="49"/>
  <c r="BX13" i="49"/>
  <c r="BZ13" i="49"/>
  <c r="CB13" i="49"/>
  <c r="CD13" i="49"/>
  <c r="BN55" i="49"/>
  <c r="BJ55" i="49" s="1"/>
  <c r="BT14" i="49"/>
  <c r="BV14" i="49"/>
  <c r="BX14" i="49"/>
  <c r="BZ14" i="49"/>
  <c r="CB14" i="49"/>
  <c r="CD14" i="49"/>
  <c r="BN56" i="49"/>
  <c r="BJ56" i="49" s="1"/>
  <c r="BT15" i="49"/>
  <c r="BV15" i="49"/>
  <c r="BX15" i="49"/>
  <c r="BZ15" i="49"/>
  <c r="CB15" i="49"/>
  <c r="CD15" i="49"/>
  <c r="C65" i="49"/>
  <c r="BN57" i="49"/>
  <c r="BJ57" i="49" s="1"/>
  <c r="BT16" i="49"/>
  <c r="BV16" i="49"/>
  <c r="BX16" i="49"/>
  <c r="BZ16" i="49"/>
  <c r="CB16" i="49"/>
  <c r="CD16" i="49"/>
  <c r="BN58" i="49"/>
  <c r="BJ58" i="49" s="1"/>
  <c r="BT17" i="49"/>
  <c r="BV17" i="49"/>
  <c r="BX17" i="49"/>
  <c r="BZ17" i="49"/>
  <c r="CB17" i="49"/>
  <c r="CD17" i="49"/>
  <c r="BN59" i="49"/>
  <c r="BJ59" i="49" s="1"/>
  <c r="BT18" i="49"/>
  <c r="BV18" i="49"/>
  <c r="BX18" i="49"/>
  <c r="BZ18" i="49"/>
  <c r="CB18" i="49"/>
  <c r="CD18" i="49"/>
  <c r="BN60" i="49"/>
  <c r="BJ60" i="49" s="1"/>
  <c r="BT19" i="49"/>
  <c r="BV19" i="49"/>
  <c r="BX19" i="49"/>
  <c r="BZ19" i="49"/>
  <c r="CB19" i="49"/>
  <c r="CD19" i="49"/>
  <c r="BN61" i="49"/>
  <c r="BJ61" i="49" s="1"/>
  <c r="BT20" i="49"/>
  <c r="BV20" i="49"/>
  <c r="BX20" i="49"/>
  <c r="BZ20" i="49"/>
  <c r="CB20" i="49"/>
  <c r="CD20" i="49"/>
  <c r="C71" i="49"/>
  <c r="C72" i="49"/>
  <c r="C75" i="49"/>
  <c r="BJ23" i="49" s="1"/>
  <c r="C76" i="49"/>
  <c r="T76" i="49" s="1"/>
  <c r="BC31" i="49"/>
  <c r="BG26" i="49"/>
  <c r="BI69" i="49" s="1"/>
  <c r="BT28" i="49"/>
  <c r="BV28" i="49"/>
  <c r="BX28" i="49"/>
  <c r="BZ28" i="49"/>
  <c r="CB28" i="49"/>
  <c r="CD28" i="49"/>
  <c r="BN49" i="49"/>
  <c r="BJ49" i="49" s="1"/>
  <c r="BT8" i="49"/>
  <c r="BV8" i="49"/>
  <c r="BX8" i="49"/>
  <c r="BZ8" i="49"/>
  <c r="CB8" i="49"/>
  <c r="CD8" i="49"/>
  <c r="J53" i="50"/>
  <c r="T53" i="49"/>
  <c r="S34" i="40"/>
  <c r="E34" i="24"/>
  <c r="E34" i="48" s="1"/>
  <c r="B1" i="3"/>
  <c r="AZ2" i="37" s="1"/>
  <c r="K1" i="51"/>
  <c r="B3" i="3"/>
  <c r="D48" i="50" s="1"/>
  <c r="L2" i="3"/>
  <c r="K10" i="3"/>
  <c r="D11" i="51" s="1"/>
  <c r="DC211" i="51" s="1"/>
  <c r="I11" i="51"/>
  <c r="K11" i="51"/>
  <c r="M11" i="51"/>
  <c r="O11" i="51"/>
  <c r="Q11" i="51"/>
  <c r="S11" i="51"/>
  <c r="U11" i="51"/>
  <c r="W11" i="51"/>
  <c r="K11" i="3"/>
  <c r="I12" i="51"/>
  <c r="K12" i="51"/>
  <c r="M12" i="51"/>
  <c r="O12" i="51"/>
  <c r="Q12" i="51"/>
  <c r="S12" i="51"/>
  <c r="U12" i="51"/>
  <c r="W12" i="51"/>
  <c r="K12" i="3"/>
  <c r="D13" i="24" s="1"/>
  <c r="DC213" i="24" s="1"/>
  <c r="I13" i="51"/>
  <c r="K13" i="51"/>
  <c r="M13" i="51"/>
  <c r="O13" i="51"/>
  <c r="Q13" i="51"/>
  <c r="S13" i="51"/>
  <c r="U13" i="51"/>
  <c r="W13" i="51"/>
  <c r="C19" i="51"/>
  <c r="DB219" i="51" s="1"/>
  <c r="K13" i="3"/>
  <c r="D14" i="51" s="1"/>
  <c r="DC214" i="51" s="1"/>
  <c r="I14" i="51"/>
  <c r="K14" i="51"/>
  <c r="M14" i="51"/>
  <c r="O14" i="51"/>
  <c r="Q14" i="51"/>
  <c r="S14" i="51"/>
  <c r="U14" i="51"/>
  <c r="W14" i="51"/>
  <c r="K14" i="3"/>
  <c r="D15" i="51" s="1"/>
  <c r="DC215" i="51" s="1"/>
  <c r="I15" i="51"/>
  <c r="K15" i="51"/>
  <c r="M15" i="51"/>
  <c r="O15" i="51"/>
  <c r="Q15" i="51"/>
  <c r="S15" i="51"/>
  <c r="U15" i="51"/>
  <c r="W15" i="51"/>
  <c r="K15" i="3"/>
  <c r="D62" i="47" s="1"/>
  <c r="I16" i="51"/>
  <c r="K16" i="51"/>
  <c r="M16" i="51"/>
  <c r="O16" i="51"/>
  <c r="Q16" i="51"/>
  <c r="S16" i="51"/>
  <c r="U16" i="51"/>
  <c r="W16" i="51"/>
  <c r="C22" i="51"/>
  <c r="DB222" i="51" s="1"/>
  <c r="K16" i="3"/>
  <c r="D63" i="48" s="1"/>
  <c r="I17" i="51"/>
  <c r="K17" i="51"/>
  <c r="M17" i="51"/>
  <c r="O17" i="51"/>
  <c r="Q17" i="51"/>
  <c r="S17" i="51"/>
  <c r="U17" i="51"/>
  <c r="W17" i="51"/>
  <c r="K17" i="3"/>
  <c r="D64" i="48" s="1"/>
  <c r="I18" i="51"/>
  <c r="K18" i="51"/>
  <c r="M18" i="51"/>
  <c r="O18" i="51"/>
  <c r="Q18" i="51"/>
  <c r="S18" i="51"/>
  <c r="U18" i="51"/>
  <c r="W18" i="51"/>
  <c r="K18" i="3"/>
  <c r="D65" i="44" s="1"/>
  <c r="I19" i="51"/>
  <c r="K19" i="51"/>
  <c r="M19" i="51"/>
  <c r="O19" i="51"/>
  <c r="Q19" i="51"/>
  <c r="S19" i="51"/>
  <c r="U19" i="51"/>
  <c r="W19" i="51"/>
  <c r="C25" i="51"/>
  <c r="DB225" i="51" s="1"/>
  <c r="K19" i="3"/>
  <c r="D20" i="34" s="1"/>
  <c r="DC220" i="34" s="1"/>
  <c r="I20" i="51"/>
  <c r="K20" i="51"/>
  <c r="M20" i="51"/>
  <c r="O20" i="51"/>
  <c r="Q20" i="51"/>
  <c r="S20" i="51"/>
  <c r="U20" i="51"/>
  <c r="W20" i="51"/>
  <c r="C26" i="51"/>
  <c r="DB226" i="51" s="1"/>
  <c r="K20" i="3"/>
  <c r="D21" i="46" s="1"/>
  <c r="DC221" i="46" s="1"/>
  <c r="I21" i="51"/>
  <c r="K21" i="51"/>
  <c r="M21" i="51"/>
  <c r="O21" i="51"/>
  <c r="Q21" i="51"/>
  <c r="S21" i="51"/>
  <c r="U21" i="51"/>
  <c r="W21" i="51"/>
  <c r="K21" i="3"/>
  <c r="D22" i="51" s="1"/>
  <c r="DC222" i="51" s="1"/>
  <c r="I22" i="51"/>
  <c r="K22" i="51"/>
  <c r="M22" i="51"/>
  <c r="O22" i="51"/>
  <c r="Q22" i="51"/>
  <c r="S22" i="51"/>
  <c r="U22" i="51"/>
  <c r="W22" i="51"/>
  <c r="K22" i="3"/>
  <c r="D69" i="48" s="1"/>
  <c r="I23" i="51"/>
  <c r="K23" i="51"/>
  <c r="M23" i="51"/>
  <c r="O23" i="51"/>
  <c r="Q23" i="51"/>
  <c r="S23" i="51"/>
  <c r="U23" i="51"/>
  <c r="W23" i="51"/>
  <c r="C29" i="51"/>
  <c r="DB229" i="51" s="1"/>
  <c r="K23" i="3"/>
  <c r="I24" i="51"/>
  <c r="K24" i="51"/>
  <c r="M24" i="51"/>
  <c r="O24" i="51"/>
  <c r="Q24" i="51"/>
  <c r="S24" i="51"/>
  <c r="U24" i="51"/>
  <c r="W24" i="51"/>
  <c r="C30" i="51"/>
  <c r="DB230" i="51" s="1"/>
  <c r="K24" i="3"/>
  <c r="D25" i="46" s="1"/>
  <c r="DC225" i="46" s="1"/>
  <c r="I25" i="51"/>
  <c r="K25" i="51"/>
  <c r="M25" i="51"/>
  <c r="O25" i="51"/>
  <c r="Q25" i="51"/>
  <c r="S25" i="51"/>
  <c r="U25" i="51"/>
  <c r="W25" i="51"/>
  <c r="K25" i="3"/>
  <c r="I26" i="51"/>
  <c r="K26" i="51"/>
  <c r="M26" i="51"/>
  <c r="O26" i="51"/>
  <c r="Q26" i="51"/>
  <c r="S26" i="51"/>
  <c r="U26" i="51"/>
  <c r="W26" i="51"/>
  <c r="K26" i="3"/>
  <c r="I27" i="51"/>
  <c r="K27" i="51"/>
  <c r="M27" i="51"/>
  <c r="O27" i="51"/>
  <c r="Q27" i="51"/>
  <c r="S27" i="51"/>
  <c r="U27" i="51"/>
  <c r="W27" i="51"/>
  <c r="K27" i="3"/>
  <c r="D28" i="51" s="1"/>
  <c r="DC228" i="51" s="1"/>
  <c r="I28" i="51"/>
  <c r="K28" i="51"/>
  <c r="M28" i="51"/>
  <c r="O28" i="51"/>
  <c r="Q28" i="51"/>
  <c r="S28" i="51"/>
  <c r="U28" i="51"/>
  <c r="W28" i="51"/>
  <c r="K28" i="3"/>
  <c r="D29" i="45" s="1"/>
  <c r="DC229" i="45" s="1"/>
  <c r="I29" i="51"/>
  <c r="K29" i="51"/>
  <c r="M29" i="51"/>
  <c r="O29" i="51"/>
  <c r="Q29" i="51"/>
  <c r="S29" i="51"/>
  <c r="U29" i="51"/>
  <c r="W29" i="51"/>
  <c r="K29" i="3"/>
  <c r="I30" i="51"/>
  <c r="K30" i="51"/>
  <c r="M30" i="51"/>
  <c r="O30" i="51"/>
  <c r="Q30" i="51"/>
  <c r="S30" i="51"/>
  <c r="U30" i="51"/>
  <c r="W30" i="51"/>
  <c r="I31" i="51"/>
  <c r="K31" i="51"/>
  <c r="M31" i="51"/>
  <c r="O31" i="51"/>
  <c r="Q31" i="51"/>
  <c r="S31" i="51"/>
  <c r="U31" i="51"/>
  <c r="W31" i="51"/>
  <c r="C19" i="39"/>
  <c r="DB219" i="39" s="1"/>
  <c r="C25" i="39"/>
  <c r="DB225" i="39" s="1"/>
  <c r="C26" i="39"/>
  <c r="C29" i="39"/>
  <c r="DB229" i="39" s="1"/>
  <c r="C30" i="39"/>
  <c r="C22" i="38"/>
  <c r="DB222" i="38" s="1"/>
  <c r="C25" i="38"/>
  <c r="C26" i="38"/>
  <c r="C29" i="38"/>
  <c r="DB229" i="38" s="1"/>
  <c r="C30" i="38"/>
  <c r="C25" i="37"/>
  <c r="C26" i="37"/>
  <c r="DB226" i="37" s="1"/>
  <c r="C29" i="37"/>
  <c r="DB229" i="37" s="1"/>
  <c r="C30" i="37"/>
  <c r="BJ23" i="24"/>
  <c r="C15" i="40"/>
  <c r="DB215" i="40" s="1"/>
  <c r="C25" i="40"/>
  <c r="DB225" i="40" s="1"/>
  <c r="C26" i="40"/>
  <c r="DB226" i="40" s="1"/>
  <c r="C29" i="40"/>
  <c r="DB229" i="40" s="1"/>
  <c r="C30" i="40"/>
  <c r="DB230" i="40" s="1"/>
  <c r="C21" i="41"/>
  <c r="DB221" i="41" s="1"/>
  <c r="C25" i="41"/>
  <c r="C26" i="41"/>
  <c r="DB226" i="41" s="1"/>
  <c r="C29" i="41"/>
  <c r="BJ23" i="41"/>
  <c r="C30" i="41"/>
  <c r="DB230" i="41" s="1"/>
  <c r="C61" i="50"/>
  <c r="C65" i="50"/>
  <c r="C71" i="50"/>
  <c r="C72" i="50"/>
  <c r="C75" i="50"/>
  <c r="BJ23" i="50" s="1"/>
  <c r="C76" i="50"/>
  <c r="V76" i="50" s="1"/>
  <c r="DE230" i="50" s="1"/>
  <c r="BJ24" i="44"/>
  <c r="BN50" i="50"/>
  <c r="BJ50" i="50" s="1"/>
  <c r="BN51" i="50"/>
  <c r="BJ51" i="50" s="1"/>
  <c r="BN52" i="50"/>
  <c r="BJ52" i="50" s="1"/>
  <c r="BN53" i="50"/>
  <c r="BJ53" i="50" s="1"/>
  <c r="BN54" i="50"/>
  <c r="BJ54" i="50" s="1"/>
  <c r="BN55" i="50"/>
  <c r="BJ55" i="50" s="1"/>
  <c r="BN56" i="50"/>
  <c r="BJ56" i="50" s="1"/>
  <c r="BN57" i="50"/>
  <c r="BJ57" i="50" s="1"/>
  <c r="BN58" i="50"/>
  <c r="BJ58" i="50" s="1"/>
  <c r="BN59" i="50"/>
  <c r="BJ59" i="50" s="1"/>
  <c r="BN60" i="50"/>
  <c r="BJ60" i="50" s="1"/>
  <c r="BN61" i="50"/>
  <c r="BJ61" i="50" s="1"/>
  <c r="BN62" i="50"/>
  <c r="BJ62" i="50" s="1"/>
  <c r="BN63" i="50"/>
  <c r="BJ63" i="50" s="1"/>
  <c r="BN64" i="50"/>
  <c r="BJ64" i="50" s="1"/>
  <c r="BN65" i="50"/>
  <c r="BJ65" i="50" s="1"/>
  <c r="BN66" i="50"/>
  <c r="BJ66" i="50" s="1"/>
  <c r="BN67" i="50"/>
  <c r="BJ67" i="50" s="1"/>
  <c r="BN68" i="50"/>
  <c r="BJ68" i="50" s="1"/>
  <c r="BN49" i="50"/>
  <c r="BJ49" i="50" s="1"/>
  <c r="BN62" i="49"/>
  <c r="BJ62" i="49" s="1"/>
  <c r="BN63" i="49"/>
  <c r="BJ63" i="49" s="1"/>
  <c r="BN64" i="49"/>
  <c r="BJ64" i="49" s="1"/>
  <c r="BN65" i="49"/>
  <c r="BJ65" i="49" s="1"/>
  <c r="BN66" i="49"/>
  <c r="BJ66" i="49" s="1"/>
  <c r="BN67" i="49"/>
  <c r="BJ67" i="49" s="1"/>
  <c r="BN68" i="49"/>
  <c r="BJ68" i="49" s="1"/>
  <c r="BN62" i="48"/>
  <c r="BJ62" i="48" s="1"/>
  <c r="BN63" i="48"/>
  <c r="BJ63" i="48" s="1"/>
  <c r="BN64" i="48"/>
  <c r="BJ64" i="48" s="1"/>
  <c r="BN65" i="48"/>
  <c r="BJ65" i="48" s="1"/>
  <c r="BN66" i="48"/>
  <c r="BJ66" i="48" s="1"/>
  <c r="BN67" i="48"/>
  <c r="BJ67" i="48" s="1"/>
  <c r="BN68" i="48"/>
  <c r="BJ68" i="48" s="1"/>
  <c r="BN62" i="47"/>
  <c r="BJ62" i="47" s="1"/>
  <c r="BN63" i="47"/>
  <c r="BJ63" i="47" s="1"/>
  <c r="BN64" i="47"/>
  <c r="BJ64" i="47" s="1"/>
  <c r="BN65" i="47"/>
  <c r="BJ65" i="47" s="1"/>
  <c r="BN66" i="47"/>
  <c r="BJ66" i="47" s="1"/>
  <c r="BN67" i="47"/>
  <c r="BJ67" i="47" s="1"/>
  <c r="BN68" i="47"/>
  <c r="BJ68" i="47" s="1"/>
  <c r="BN62" i="46"/>
  <c r="BJ62" i="46" s="1"/>
  <c r="BN63" i="46"/>
  <c r="BJ63" i="46" s="1"/>
  <c r="BN64" i="46"/>
  <c r="BJ64" i="46" s="1"/>
  <c r="BN65" i="46"/>
  <c r="BJ65" i="46" s="1"/>
  <c r="BN66" i="46"/>
  <c r="BJ66" i="46" s="1"/>
  <c r="BN67" i="46"/>
  <c r="BJ67" i="46" s="1"/>
  <c r="BN68" i="46"/>
  <c r="BJ68" i="46" s="1"/>
  <c r="BN62" i="45"/>
  <c r="BJ62" i="45" s="1"/>
  <c r="BN63" i="45"/>
  <c r="BJ63" i="45" s="1"/>
  <c r="BN64" i="45"/>
  <c r="BJ64" i="45" s="1"/>
  <c r="BN65" i="45"/>
  <c r="BJ65" i="45" s="1"/>
  <c r="BN66" i="45"/>
  <c r="BJ66" i="45" s="1"/>
  <c r="BN67" i="45"/>
  <c r="BJ67" i="45" s="1"/>
  <c r="BN68" i="45"/>
  <c r="BJ68" i="45" s="1"/>
  <c r="BN62" i="44"/>
  <c r="BJ62" i="44" s="1"/>
  <c r="BN63" i="44"/>
  <c r="BJ63" i="44" s="1"/>
  <c r="BN64" i="44"/>
  <c r="BJ64" i="44" s="1"/>
  <c r="BN65" i="44"/>
  <c r="BJ65" i="44" s="1"/>
  <c r="BN66" i="44"/>
  <c r="BJ66" i="44" s="1"/>
  <c r="BN67" i="44"/>
  <c r="BJ67" i="44" s="1"/>
  <c r="BN68" i="44"/>
  <c r="BJ68" i="44" s="1"/>
  <c r="BN62" i="43"/>
  <c r="BJ62" i="43" s="1"/>
  <c r="BN63" i="43"/>
  <c r="BJ63" i="43" s="1"/>
  <c r="BN64" i="43"/>
  <c r="BJ64" i="43" s="1"/>
  <c r="BN65" i="43"/>
  <c r="BJ65" i="43" s="1"/>
  <c r="BN66" i="43"/>
  <c r="BJ66" i="43" s="1"/>
  <c r="BN67" i="43"/>
  <c r="BJ67" i="43" s="1"/>
  <c r="BN68" i="43"/>
  <c r="BJ68" i="43" s="1"/>
  <c r="BN50" i="41"/>
  <c r="BJ50" i="41" s="1"/>
  <c r="BN51" i="41"/>
  <c r="BJ51" i="41" s="1"/>
  <c r="BN52" i="41"/>
  <c r="BJ52" i="41" s="1"/>
  <c r="BN53" i="41"/>
  <c r="BJ53" i="41" s="1"/>
  <c r="BN54" i="41"/>
  <c r="BJ54" i="41" s="1"/>
  <c r="BN55" i="41"/>
  <c r="BJ55" i="41" s="1"/>
  <c r="BN56" i="41"/>
  <c r="BJ56" i="41" s="1"/>
  <c r="BN57" i="41"/>
  <c r="BJ57" i="41" s="1"/>
  <c r="BN58" i="41"/>
  <c r="BJ58" i="41" s="1"/>
  <c r="BN59" i="41"/>
  <c r="BJ59" i="41" s="1"/>
  <c r="BN60" i="41"/>
  <c r="BJ60" i="41" s="1"/>
  <c r="BN61" i="41"/>
  <c r="BJ61" i="41" s="1"/>
  <c r="BN62" i="41"/>
  <c r="BJ62" i="41" s="1"/>
  <c r="BN63" i="41"/>
  <c r="BJ63" i="41" s="1"/>
  <c r="BN64" i="41"/>
  <c r="BJ64" i="41" s="1"/>
  <c r="BN65" i="41"/>
  <c r="BJ65" i="41" s="1"/>
  <c r="BN66" i="41"/>
  <c r="BJ66" i="41" s="1"/>
  <c r="BN67" i="41"/>
  <c r="BJ67" i="41" s="1"/>
  <c r="BN68" i="41"/>
  <c r="BJ68" i="41" s="1"/>
  <c r="BN49" i="41"/>
  <c r="BJ49" i="41" s="1"/>
  <c r="BN50" i="40"/>
  <c r="BJ50" i="40" s="1"/>
  <c r="BN51" i="40"/>
  <c r="BJ51" i="40" s="1"/>
  <c r="BN52" i="40"/>
  <c r="BJ52" i="40" s="1"/>
  <c r="BN53" i="40"/>
  <c r="BJ53" i="40" s="1"/>
  <c r="BN54" i="40"/>
  <c r="BJ54" i="40" s="1"/>
  <c r="BN55" i="40"/>
  <c r="BJ55" i="40" s="1"/>
  <c r="BN56" i="40"/>
  <c r="BJ56" i="40" s="1"/>
  <c r="BN58" i="40"/>
  <c r="BJ58" i="40" s="1"/>
  <c r="BN59" i="40"/>
  <c r="BJ59" i="40" s="1"/>
  <c r="BN60" i="40"/>
  <c r="BJ60" i="40" s="1"/>
  <c r="BN61" i="40"/>
  <c r="BJ61" i="40" s="1"/>
  <c r="BN62" i="40"/>
  <c r="BJ62" i="40" s="1"/>
  <c r="BN63" i="40"/>
  <c r="BJ63" i="40" s="1"/>
  <c r="BN64" i="40"/>
  <c r="BJ64" i="40" s="1"/>
  <c r="BN65" i="40"/>
  <c r="BJ65" i="40" s="1"/>
  <c r="BN66" i="40"/>
  <c r="BJ66" i="40" s="1"/>
  <c r="BN67" i="40"/>
  <c r="BJ67" i="40" s="1"/>
  <c r="BN68" i="40"/>
  <c r="BJ68" i="40" s="1"/>
  <c r="BN49" i="40"/>
  <c r="BJ49" i="40" s="1"/>
  <c r="BN50" i="39"/>
  <c r="BJ50" i="39" s="1"/>
  <c r="BN51" i="39"/>
  <c r="BJ51" i="39" s="1"/>
  <c r="BN52" i="39"/>
  <c r="BJ52" i="39" s="1"/>
  <c r="BN53" i="39"/>
  <c r="BJ53" i="39" s="1"/>
  <c r="BN54" i="39"/>
  <c r="BJ54" i="39" s="1"/>
  <c r="BN55" i="39"/>
  <c r="BJ55" i="39" s="1"/>
  <c r="BN56" i="39"/>
  <c r="BJ56" i="39" s="1"/>
  <c r="BN57" i="39"/>
  <c r="BJ57" i="39" s="1"/>
  <c r="BN58" i="39"/>
  <c r="BJ58" i="39" s="1"/>
  <c r="BN59" i="39"/>
  <c r="BJ59" i="39" s="1"/>
  <c r="BN60" i="39"/>
  <c r="BJ60" i="39" s="1"/>
  <c r="BN61" i="39"/>
  <c r="BJ61" i="39" s="1"/>
  <c r="BN62" i="39"/>
  <c r="BJ62" i="39" s="1"/>
  <c r="BN63" i="39"/>
  <c r="BJ63" i="39" s="1"/>
  <c r="BN64" i="39"/>
  <c r="BJ64" i="39" s="1"/>
  <c r="BN65" i="39"/>
  <c r="BJ65" i="39" s="1"/>
  <c r="BN66" i="39"/>
  <c r="BJ66" i="39" s="1"/>
  <c r="BN67" i="39"/>
  <c r="BJ67" i="39" s="1"/>
  <c r="BN68" i="39"/>
  <c r="BJ68" i="39" s="1"/>
  <c r="BN49" i="39"/>
  <c r="BJ49" i="39" s="1"/>
  <c r="BN50" i="38"/>
  <c r="BJ50" i="38" s="1"/>
  <c r="BN51" i="38"/>
  <c r="BJ51" i="38" s="1"/>
  <c r="BN52" i="38"/>
  <c r="BJ52" i="38" s="1"/>
  <c r="BN53" i="38"/>
  <c r="BJ53" i="38" s="1"/>
  <c r="BN54" i="38"/>
  <c r="BJ54" i="38" s="1"/>
  <c r="BN55" i="38"/>
  <c r="BJ55" i="38" s="1"/>
  <c r="BN56" i="38"/>
  <c r="BJ56" i="38" s="1"/>
  <c r="BN57" i="38"/>
  <c r="BJ57" i="38" s="1"/>
  <c r="BN58" i="38"/>
  <c r="BJ58" i="38" s="1"/>
  <c r="BN59" i="38"/>
  <c r="BJ59" i="38" s="1"/>
  <c r="BN60" i="38"/>
  <c r="BJ60" i="38" s="1"/>
  <c r="BN61" i="38"/>
  <c r="BJ61" i="38" s="1"/>
  <c r="BN62" i="38"/>
  <c r="BJ62" i="38" s="1"/>
  <c r="BN63" i="38"/>
  <c r="BJ63" i="38" s="1"/>
  <c r="BN64" i="38"/>
  <c r="BJ64" i="38" s="1"/>
  <c r="BN65" i="38"/>
  <c r="BJ65" i="38" s="1"/>
  <c r="BN66" i="38"/>
  <c r="BJ66" i="38" s="1"/>
  <c r="BN67" i="38"/>
  <c r="BJ67" i="38" s="1"/>
  <c r="BN68" i="38"/>
  <c r="BJ68" i="38" s="1"/>
  <c r="BN49" i="38"/>
  <c r="BJ49" i="38" s="1"/>
  <c r="BN50" i="37"/>
  <c r="BJ50" i="37" s="1"/>
  <c r="BN51" i="37"/>
  <c r="BJ51" i="37" s="1"/>
  <c r="BN52" i="37"/>
  <c r="BJ52" i="37" s="1"/>
  <c r="BN53" i="37"/>
  <c r="BJ53" i="37" s="1"/>
  <c r="BN54" i="37"/>
  <c r="BJ54" i="37" s="1"/>
  <c r="BN55" i="37"/>
  <c r="BJ55" i="37" s="1"/>
  <c r="BN56" i="37"/>
  <c r="BJ56" i="37" s="1"/>
  <c r="BN57" i="37"/>
  <c r="BJ57" i="37" s="1"/>
  <c r="BN58" i="37"/>
  <c r="BJ58" i="37" s="1"/>
  <c r="BN59" i="37"/>
  <c r="BJ59" i="37" s="1"/>
  <c r="BN60" i="37"/>
  <c r="BJ60" i="37" s="1"/>
  <c r="BN61" i="37"/>
  <c r="BJ61" i="37" s="1"/>
  <c r="BN62" i="37"/>
  <c r="BJ62" i="37" s="1"/>
  <c r="BN63" i="37"/>
  <c r="BJ63" i="37" s="1"/>
  <c r="BN64" i="37"/>
  <c r="BJ64" i="37" s="1"/>
  <c r="BN65" i="37"/>
  <c r="BJ65" i="37" s="1"/>
  <c r="BN66" i="37"/>
  <c r="BJ66" i="37" s="1"/>
  <c r="BN67" i="37"/>
  <c r="BJ67" i="37" s="1"/>
  <c r="BN68" i="37"/>
  <c r="BJ68" i="37" s="1"/>
  <c r="BN49" i="37"/>
  <c r="BJ49" i="37" s="1"/>
  <c r="BN58" i="36"/>
  <c r="BJ58" i="36" s="1"/>
  <c r="BN59" i="36"/>
  <c r="BJ59" i="36" s="1"/>
  <c r="BN60" i="36"/>
  <c r="BJ60" i="36" s="1"/>
  <c r="BN61" i="36"/>
  <c r="BJ61" i="36" s="1"/>
  <c r="BN62" i="36"/>
  <c r="BJ62" i="36" s="1"/>
  <c r="BN63" i="36"/>
  <c r="BJ63" i="36" s="1"/>
  <c r="BN64" i="36"/>
  <c r="BJ64" i="36" s="1"/>
  <c r="BN65" i="36"/>
  <c r="BJ65" i="36" s="1"/>
  <c r="BN66" i="36"/>
  <c r="BJ66" i="36" s="1"/>
  <c r="BN67" i="36"/>
  <c r="BJ67" i="36" s="1"/>
  <c r="BN68" i="36"/>
  <c r="BJ68" i="36" s="1"/>
  <c r="BN58" i="35"/>
  <c r="BJ58" i="35" s="1"/>
  <c r="BN59" i="35"/>
  <c r="BJ59" i="35" s="1"/>
  <c r="BN60" i="35"/>
  <c r="BJ60" i="35" s="1"/>
  <c r="BN61" i="35"/>
  <c r="BJ61" i="35" s="1"/>
  <c r="BN62" i="35"/>
  <c r="BJ62" i="35" s="1"/>
  <c r="BN63" i="35"/>
  <c r="BJ63" i="35" s="1"/>
  <c r="BN64" i="35"/>
  <c r="BJ64" i="35" s="1"/>
  <c r="BN65" i="35"/>
  <c r="BJ65" i="35" s="1"/>
  <c r="BN66" i="35"/>
  <c r="BJ66" i="35" s="1"/>
  <c r="BN67" i="35"/>
  <c r="BJ67" i="35" s="1"/>
  <c r="BN68" i="35"/>
  <c r="BJ68" i="35" s="1"/>
  <c r="U34" i="49"/>
  <c r="BF25" i="40"/>
  <c r="BC18" i="40" s="1"/>
  <c r="BC19" i="40" s="1"/>
  <c r="BE49" i="40"/>
  <c r="BE50" i="40"/>
  <c r="BE51" i="40"/>
  <c r="BE52" i="40"/>
  <c r="BT9" i="40"/>
  <c r="BV9" i="40"/>
  <c r="BX9" i="40"/>
  <c r="BZ9" i="40"/>
  <c r="CB9" i="40"/>
  <c r="CD9" i="40"/>
  <c r="BT10" i="40"/>
  <c r="BV10" i="40"/>
  <c r="BX10" i="40"/>
  <c r="BZ10" i="40"/>
  <c r="CB10" i="40"/>
  <c r="CD10" i="40"/>
  <c r="BT11" i="40"/>
  <c r="BV11" i="40"/>
  <c r="BX11" i="40"/>
  <c r="BZ11" i="40"/>
  <c r="CB11" i="40"/>
  <c r="CD11" i="40"/>
  <c r="BE9" i="40"/>
  <c r="BG53" i="40" s="1"/>
  <c r="BT12" i="40"/>
  <c r="BV12" i="40"/>
  <c r="BX12" i="40"/>
  <c r="BZ12" i="40"/>
  <c r="CB12" i="40"/>
  <c r="CD12" i="40"/>
  <c r="BT13" i="40"/>
  <c r="BV13" i="40"/>
  <c r="BX13" i="40"/>
  <c r="BZ13" i="40"/>
  <c r="CB13" i="40"/>
  <c r="CD13" i="40"/>
  <c r="BT14" i="40"/>
  <c r="BV14" i="40"/>
  <c r="BX14" i="40"/>
  <c r="BZ14" i="40"/>
  <c r="CB14" i="40"/>
  <c r="CD14" i="40"/>
  <c r="BT15" i="40"/>
  <c r="BV15" i="40"/>
  <c r="BX15" i="40"/>
  <c r="BZ15" i="40"/>
  <c r="CB15" i="40"/>
  <c r="CD15" i="40"/>
  <c r="BT16" i="40"/>
  <c r="BV16" i="40"/>
  <c r="BX16" i="40"/>
  <c r="BZ16" i="40"/>
  <c r="CB16" i="40"/>
  <c r="CD16" i="40"/>
  <c r="BT17" i="40"/>
  <c r="BV17" i="40"/>
  <c r="BX17" i="40"/>
  <c r="BZ17" i="40"/>
  <c r="CB17" i="40"/>
  <c r="CD17" i="40"/>
  <c r="BT18" i="40"/>
  <c r="BV18" i="40"/>
  <c r="BX18" i="40"/>
  <c r="BZ18" i="40"/>
  <c r="CB18" i="40"/>
  <c r="CD18" i="40"/>
  <c r="BT19" i="40"/>
  <c r="BV19" i="40"/>
  <c r="BX19" i="40"/>
  <c r="BZ19" i="40"/>
  <c r="CB19" i="40"/>
  <c r="CD19" i="40"/>
  <c r="BT20" i="40"/>
  <c r="BV20" i="40"/>
  <c r="BX20" i="40"/>
  <c r="BZ20" i="40"/>
  <c r="CB20" i="40"/>
  <c r="CD20" i="40"/>
  <c r="BT21" i="40"/>
  <c r="BV21" i="40"/>
  <c r="BX21" i="40"/>
  <c r="BZ21" i="40"/>
  <c r="CB21" i="40"/>
  <c r="CD21" i="40"/>
  <c r="BE19" i="40"/>
  <c r="BT22" i="40"/>
  <c r="BV22" i="40"/>
  <c r="BX22" i="40"/>
  <c r="BZ22" i="40"/>
  <c r="CB22" i="40"/>
  <c r="CD22" i="40"/>
  <c r="BC31" i="40"/>
  <c r="BG26" i="40"/>
  <c r="BI69" i="40" s="1"/>
  <c r="BT28" i="40"/>
  <c r="BV28" i="40"/>
  <c r="BX28" i="40"/>
  <c r="BZ28" i="40"/>
  <c r="CB28" i="40"/>
  <c r="CD28" i="40"/>
  <c r="BT8" i="40"/>
  <c r="BV8" i="40"/>
  <c r="BX8" i="40"/>
  <c r="BZ8" i="40"/>
  <c r="CB8" i="40"/>
  <c r="CD8" i="40"/>
  <c r="BC31" i="50"/>
  <c r="BG26" i="50"/>
  <c r="BI69" i="50" s="1"/>
  <c r="BU28" i="50"/>
  <c r="BW28" i="50"/>
  <c r="BY28" i="50"/>
  <c r="CA28" i="50"/>
  <c r="CC28" i="50"/>
  <c r="CE28" i="50"/>
  <c r="BF25" i="50"/>
  <c r="BC18" i="50" s="1"/>
  <c r="BC19" i="50" s="1"/>
  <c r="BE19" i="50"/>
  <c r="BE49" i="50"/>
  <c r="BE50" i="50"/>
  <c r="BE51" i="50"/>
  <c r="BE52" i="50"/>
  <c r="BU22" i="50"/>
  <c r="BW22" i="50"/>
  <c r="BY22" i="50"/>
  <c r="CA22" i="50"/>
  <c r="CC22" i="50"/>
  <c r="CE22" i="50"/>
  <c r="BU21" i="50"/>
  <c r="BW21" i="50"/>
  <c r="BY21" i="50"/>
  <c r="CA21" i="50"/>
  <c r="CC21" i="50"/>
  <c r="CE21" i="50"/>
  <c r="BU20" i="50"/>
  <c r="BW20" i="50"/>
  <c r="BY20" i="50"/>
  <c r="CA20" i="50"/>
  <c r="CC20" i="50"/>
  <c r="CE20" i="50"/>
  <c r="BU19" i="50"/>
  <c r="BW19" i="50"/>
  <c r="BY19" i="50"/>
  <c r="CA19" i="50"/>
  <c r="CC19" i="50"/>
  <c r="CE19" i="50"/>
  <c r="CF19" i="50"/>
  <c r="BU18" i="50"/>
  <c r="BW18" i="50"/>
  <c r="BY18" i="50"/>
  <c r="CA18" i="50"/>
  <c r="CC18" i="50"/>
  <c r="CE18" i="50"/>
  <c r="BU17" i="50"/>
  <c r="BW17" i="50"/>
  <c r="BY17" i="50"/>
  <c r="CA17" i="50"/>
  <c r="CC17" i="50"/>
  <c r="CE17" i="50"/>
  <c r="BU16" i="50"/>
  <c r="BW16" i="50"/>
  <c r="BY16" i="50"/>
  <c r="CA16" i="50"/>
  <c r="CC16" i="50"/>
  <c r="CE16" i="50"/>
  <c r="BU15" i="50"/>
  <c r="BW15" i="50"/>
  <c r="BY15" i="50"/>
  <c r="CA15" i="50"/>
  <c r="CC15" i="50"/>
  <c r="CE15" i="50"/>
  <c r="BU14" i="50"/>
  <c r="BW14" i="50"/>
  <c r="BY14" i="50"/>
  <c r="CA14" i="50"/>
  <c r="CC14" i="50"/>
  <c r="CE14" i="50"/>
  <c r="BU13" i="50"/>
  <c r="BW13" i="50"/>
  <c r="BY13" i="50"/>
  <c r="CA13" i="50"/>
  <c r="CC13" i="50"/>
  <c r="CE13" i="50"/>
  <c r="BU12" i="50"/>
  <c r="BW12" i="50"/>
  <c r="BY12" i="50"/>
  <c r="CA12" i="50"/>
  <c r="CC12" i="50"/>
  <c r="CE12" i="50"/>
  <c r="BU11" i="50"/>
  <c r="BW11" i="50"/>
  <c r="BY11" i="50"/>
  <c r="CA11" i="50"/>
  <c r="CC11" i="50"/>
  <c r="CE11" i="50"/>
  <c r="BU10" i="50"/>
  <c r="BW10" i="50"/>
  <c r="BY10" i="50"/>
  <c r="CA10" i="50"/>
  <c r="CC10" i="50"/>
  <c r="CE10" i="50"/>
  <c r="BU9" i="50"/>
  <c r="BW9" i="50"/>
  <c r="BY9" i="50"/>
  <c r="CA9" i="50"/>
  <c r="CC9" i="50"/>
  <c r="CE9" i="50"/>
  <c r="BU8" i="50"/>
  <c r="BW8" i="50"/>
  <c r="BY8" i="50"/>
  <c r="CA8" i="50"/>
  <c r="CC8" i="50"/>
  <c r="CE8" i="50"/>
  <c r="V53" i="50"/>
  <c r="V54" i="50" s="1"/>
  <c r="K1" i="50"/>
  <c r="BF2" i="50"/>
  <c r="J3" i="50"/>
  <c r="L7" i="50"/>
  <c r="P7" i="50"/>
  <c r="E11" i="50"/>
  <c r="DD211" i="50" s="1"/>
  <c r="BT8" i="35"/>
  <c r="BV8" i="35"/>
  <c r="CB8" i="35"/>
  <c r="CD8" i="35"/>
  <c r="BE51" i="36"/>
  <c r="BE52" i="36"/>
  <c r="BT8" i="36"/>
  <c r="BV8" i="36"/>
  <c r="BX8" i="36"/>
  <c r="BZ8" i="36"/>
  <c r="CB8" i="36"/>
  <c r="CD8" i="36"/>
  <c r="BC18" i="37"/>
  <c r="BC19" i="37" s="1"/>
  <c r="BT8" i="37"/>
  <c r="BV8" i="37"/>
  <c r="BX8" i="37"/>
  <c r="BZ8" i="37"/>
  <c r="CB8" i="37"/>
  <c r="CD8" i="37"/>
  <c r="BF25" i="38"/>
  <c r="BC18" i="38" s="1"/>
  <c r="BC19" i="38" s="1"/>
  <c r="BE49" i="38"/>
  <c r="BE50" i="38"/>
  <c r="BE51" i="38"/>
  <c r="BE52" i="38"/>
  <c r="BT8" i="38"/>
  <c r="BV8" i="38"/>
  <c r="BX8" i="38"/>
  <c r="BZ8" i="38"/>
  <c r="CB8" i="38"/>
  <c r="CD8" i="38"/>
  <c r="BF25" i="39"/>
  <c r="BC18" i="39" s="1"/>
  <c r="BC19" i="39" s="1"/>
  <c r="BE49" i="39"/>
  <c r="BE50" i="39"/>
  <c r="BE51" i="39"/>
  <c r="BE52" i="39"/>
  <c r="BT8" i="39"/>
  <c r="BV8" i="39"/>
  <c r="BX8" i="39"/>
  <c r="BZ8" i="39"/>
  <c r="CB8" i="39"/>
  <c r="CD8" i="39"/>
  <c r="BF25" i="41"/>
  <c r="BC18" i="41" s="1"/>
  <c r="BC19" i="41" s="1"/>
  <c r="BE49" i="41"/>
  <c r="BE50" i="41"/>
  <c r="BE51" i="41"/>
  <c r="BE52" i="41"/>
  <c r="BT8" i="41"/>
  <c r="BV8" i="41"/>
  <c r="BX8" i="41"/>
  <c r="BZ8" i="41"/>
  <c r="CB8" i="41"/>
  <c r="CD8" i="41"/>
  <c r="E12" i="50"/>
  <c r="DD212" i="50" s="1"/>
  <c r="BT9" i="35"/>
  <c r="BV9" i="35"/>
  <c r="CB9" i="35"/>
  <c r="CD9" i="35"/>
  <c r="BT9" i="36"/>
  <c r="BV9" i="36"/>
  <c r="BX9" i="36"/>
  <c r="BZ9" i="36"/>
  <c r="CB9" i="36"/>
  <c r="CD9" i="36"/>
  <c r="BT9" i="37"/>
  <c r="BV9" i="37"/>
  <c r="BX9" i="37"/>
  <c r="BZ9" i="37"/>
  <c r="CB9" i="37"/>
  <c r="CD9" i="37"/>
  <c r="BT9" i="38"/>
  <c r="BV9" i="38"/>
  <c r="BX9" i="38"/>
  <c r="BZ9" i="38"/>
  <c r="CB9" i="38"/>
  <c r="CD9" i="38"/>
  <c r="BT9" i="39"/>
  <c r="BV9" i="39"/>
  <c r="BX9" i="39"/>
  <c r="BZ9" i="39"/>
  <c r="CB9" i="39"/>
  <c r="CD9" i="39"/>
  <c r="BT9" i="41"/>
  <c r="BV9" i="41"/>
  <c r="BX9" i="41"/>
  <c r="BZ9" i="41"/>
  <c r="CB9" i="41"/>
  <c r="CD9" i="41"/>
  <c r="BS12" i="50"/>
  <c r="E13" i="50"/>
  <c r="DD213" i="50" s="1"/>
  <c r="BT10" i="35"/>
  <c r="BV10" i="35"/>
  <c r="CB10" i="35"/>
  <c r="CD10" i="35"/>
  <c r="BT10" i="36"/>
  <c r="BV10" i="36"/>
  <c r="BX10" i="36"/>
  <c r="BZ10" i="36"/>
  <c r="CB10" i="36"/>
  <c r="CD10" i="36"/>
  <c r="BT10" i="37"/>
  <c r="BV10" i="37"/>
  <c r="BX10" i="37"/>
  <c r="BZ10" i="37"/>
  <c r="CB10" i="37"/>
  <c r="CD10" i="37"/>
  <c r="BT10" i="38"/>
  <c r="BV10" i="38"/>
  <c r="BX10" i="38"/>
  <c r="BZ10" i="38"/>
  <c r="CB10" i="38"/>
  <c r="CD10" i="38"/>
  <c r="BT10" i="39"/>
  <c r="BV10" i="39"/>
  <c r="BX10" i="39"/>
  <c r="BZ10" i="39"/>
  <c r="CB10" i="39"/>
  <c r="CD10" i="39"/>
  <c r="BT10" i="41"/>
  <c r="BV10" i="41"/>
  <c r="BX10" i="41"/>
  <c r="BZ10" i="41"/>
  <c r="CB10" i="41"/>
  <c r="CD10" i="41"/>
  <c r="E14" i="50"/>
  <c r="DD214" i="50" s="1"/>
  <c r="BT11" i="35"/>
  <c r="BV11" i="35"/>
  <c r="CB11" i="35"/>
  <c r="CD11" i="35"/>
  <c r="BT11" i="36"/>
  <c r="BV11" i="36"/>
  <c r="BX11" i="36"/>
  <c r="BZ11" i="36"/>
  <c r="CB11" i="36"/>
  <c r="CD11" i="36"/>
  <c r="BT11" i="37"/>
  <c r="BV11" i="37"/>
  <c r="BX11" i="37"/>
  <c r="BZ11" i="37"/>
  <c r="CB11" i="37"/>
  <c r="CD11" i="37"/>
  <c r="BT11" i="38"/>
  <c r="BV11" i="38"/>
  <c r="BX11" i="38"/>
  <c r="BZ11" i="38"/>
  <c r="CB11" i="38"/>
  <c r="CD11" i="38"/>
  <c r="BT11" i="39"/>
  <c r="BV11" i="39"/>
  <c r="BX11" i="39"/>
  <c r="BZ11" i="39"/>
  <c r="CB11" i="39"/>
  <c r="CD11" i="39"/>
  <c r="BT11" i="41"/>
  <c r="BV11" i="41"/>
  <c r="BX11" i="41"/>
  <c r="BZ11" i="41"/>
  <c r="CB11" i="41"/>
  <c r="CD11" i="41"/>
  <c r="E15" i="50"/>
  <c r="DD215" i="50" s="1"/>
  <c r="BT12" i="35"/>
  <c r="BV12" i="35"/>
  <c r="CB12" i="35"/>
  <c r="CD12" i="35"/>
  <c r="BT12" i="36"/>
  <c r="BV12" i="36"/>
  <c r="BX12" i="36"/>
  <c r="BZ12" i="36"/>
  <c r="CB12" i="36"/>
  <c r="CD12" i="36"/>
  <c r="BT12" i="37"/>
  <c r="BV12" i="37"/>
  <c r="BX12" i="37"/>
  <c r="BZ12" i="37"/>
  <c r="CB12" i="37"/>
  <c r="CD12" i="37"/>
  <c r="BE9" i="38"/>
  <c r="BG53" i="38" s="1"/>
  <c r="BT12" i="38"/>
  <c r="BV12" i="38"/>
  <c r="BX12" i="38"/>
  <c r="BZ12" i="38"/>
  <c r="CB12" i="38"/>
  <c r="CD12" i="38"/>
  <c r="BE9" i="39"/>
  <c r="BG53" i="39" s="1"/>
  <c r="BT12" i="39"/>
  <c r="BV12" i="39"/>
  <c r="BX12" i="39"/>
  <c r="BZ12" i="39"/>
  <c r="CB12" i="39"/>
  <c r="CD12" i="39"/>
  <c r="BT12" i="41"/>
  <c r="BV12" i="41"/>
  <c r="BX12" i="41"/>
  <c r="BZ12" i="41"/>
  <c r="CB12" i="41"/>
  <c r="CD12" i="41"/>
  <c r="E16" i="50"/>
  <c r="DD216" i="50" s="1"/>
  <c r="BT13" i="35"/>
  <c r="BV13" i="35"/>
  <c r="CB13" i="35"/>
  <c r="CD13" i="35"/>
  <c r="BT13" i="36"/>
  <c r="BV13" i="36"/>
  <c r="BX13" i="36"/>
  <c r="BZ13" i="36"/>
  <c r="CB13" i="36"/>
  <c r="CD13" i="36"/>
  <c r="BT13" i="37"/>
  <c r="BV13" i="37"/>
  <c r="BX13" i="37"/>
  <c r="BZ13" i="37"/>
  <c r="CB13" i="37"/>
  <c r="CD13" i="37"/>
  <c r="BT13" i="38"/>
  <c r="BV13" i="38"/>
  <c r="BX13" i="38"/>
  <c r="BZ13" i="38"/>
  <c r="CB13" i="38"/>
  <c r="CD13" i="38"/>
  <c r="BT13" i="39"/>
  <c r="BV13" i="39"/>
  <c r="BX13" i="39"/>
  <c r="BZ13" i="39"/>
  <c r="CB13" i="39"/>
  <c r="CD13" i="39"/>
  <c r="BT13" i="41"/>
  <c r="BV13" i="41"/>
  <c r="BX13" i="41"/>
  <c r="BZ13" i="41"/>
  <c r="CB13" i="41"/>
  <c r="CD13" i="41"/>
  <c r="E17" i="50"/>
  <c r="DD217" i="50" s="1"/>
  <c r="CB14" i="35"/>
  <c r="CD14" i="35"/>
  <c r="BT14" i="36"/>
  <c r="BV14" i="36"/>
  <c r="BX14" i="36"/>
  <c r="BZ14" i="36"/>
  <c r="CB14" i="36"/>
  <c r="CD14" i="36"/>
  <c r="BT14" i="37"/>
  <c r="BV14" i="37"/>
  <c r="BX14" i="37"/>
  <c r="BZ14" i="37"/>
  <c r="CB14" i="37"/>
  <c r="CD14" i="37"/>
  <c r="BT14" i="38"/>
  <c r="BV14" i="38"/>
  <c r="BX14" i="38"/>
  <c r="BZ14" i="38"/>
  <c r="CB14" i="38"/>
  <c r="CD14" i="38"/>
  <c r="BT14" i="39"/>
  <c r="BV14" i="39"/>
  <c r="BX14" i="39"/>
  <c r="BZ14" i="39"/>
  <c r="CB14" i="39"/>
  <c r="CD14" i="39"/>
  <c r="BT14" i="41"/>
  <c r="BV14" i="41"/>
  <c r="BX14" i="41"/>
  <c r="BZ14" i="41"/>
  <c r="CB14" i="41"/>
  <c r="CD14" i="41"/>
  <c r="E18" i="50"/>
  <c r="DD218" i="50" s="1"/>
  <c r="BT15" i="35"/>
  <c r="BV15" i="35"/>
  <c r="CB15" i="35"/>
  <c r="CD15" i="35"/>
  <c r="BT15" i="36"/>
  <c r="BV15" i="36"/>
  <c r="BX15" i="36"/>
  <c r="BZ15" i="36"/>
  <c r="CB15" i="36"/>
  <c r="CD15" i="36"/>
  <c r="BT15" i="37"/>
  <c r="BV15" i="37"/>
  <c r="BX15" i="37"/>
  <c r="BZ15" i="37"/>
  <c r="CB15" i="37"/>
  <c r="CD15" i="37"/>
  <c r="BE12" i="38"/>
  <c r="BG56" i="38" s="1"/>
  <c r="BT15" i="38"/>
  <c r="BV15" i="38"/>
  <c r="BX15" i="38"/>
  <c r="BZ15" i="38"/>
  <c r="CB15" i="38"/>
  <c r="CD15" i="38"/>
  <c r="BT15" i="39"/>
  <c r="BV15" i="39"/>
  <c r="BX15" i="39"/>
  <c r="BZ15" i="39"/>
  <c r="CB15" i="39"/>
  <c r="CD15" i="39"/>
  <c r="BT15" i="41"/>
  <c r="BV15" i="41"/>
  <c r="BX15" i="41"/>
  <c r="BZ15" i="41"/>
  <c r="CB15" i="41"/>
  <c r="CD15" i="41"/>
  <c r="BS18" i="50"/>
  <c r="C19" i="50"/>
  <c r="DB219" i="50" s="1"/>
  <c r="E19" i="50"/>
  <c r="DD219" i="50" s="1"/>
  <c r="BT16" i="35"/>
  <c r="BV16" i="35"/>
  <c r="CB16" i="35"/>
  <c r="CD16" i="35"/>
  <c r="BT16" i="36"/>
  <c r="BV16" i="36"/>
  <c r="BX16" i="36"/>
  <c r="BZ16" i="36"/>
  <c r="CB16" i="36"/>
  <c r="CD16" i="36"/>
  <c r="BT16" i="37"/>
  <c r="BV16" i="37"/>
  <c r="BX16" i="37"/>
  <c r="BZ16" i="37"/>
  <c r="CB16" i="37"/>
  <c r="CD16" i="37"/>
  <c r="BE13" i="38"/>
  <c r="BG57" i="38" s="1"/>
  <c r="BT16" i="38"/>
  <c r="BV16" i="38"/>
  <c r="BX16" i="38"/>
  <c r="BZ16" i="38"/>
  <c r="CB16" i="38"/>
  <c r="CD16" i="38"/>
  <c r="BT16" i="39"/>
  <c r="BV16" i="39"/>
  <c r="BX16" i="39"/>
  <c r="BZ16" i="39"/>
  <c r="CB16" i="39"/>
  <c r="CD16" i="39"/>
  <c r="BT16" i="41"/>
  <c r="BV16" i="41"/>
  <c r="BX16" i="41"/>
  <c r="BZ16" i="41"/>
  <c r="CB16" i="41"/>
  <c r="CD16" i="41"/>
  <c r="E20" i="50"/>
  <c r="DD220" i="50" s="1"/>
  <c r="BT17" i="35"/>
  <c r="BV17" i="35"/>
  <c r="BX17" i="35"/>
  <c r="BZ17" i="35"/>
  <c r="CB17" i="35"/>
  <c r="CD17" i="35"/>
  <c r="BT17" i="36"/>
  <c r="BV17" i="36"/>
  <c r="BX17" i="36"/>
  <c r="BZ17" i="36"/>
  <c r="CB17" i="36"/>
  <c r="CD17" i="36"/>
  <c r="BT17" i="37"/>
  <c r="BV17" i="37"/>
  <c r="BX17" i="37"/>
  <c r="BZ17" i="37"/>
  <c r="CB17" i="37"/>
  <c r="CD17" i="37"/>
  <c r="BT17" i="38"/>
  <c r="BV17" i="38"/>
  <c r="BX17" i="38"/>
  <c r="BZ17" i="38"/>
  <c r="CB17" i="38"/>
  <c r="CD17" i="38"/>
  <c r="BT17" i="39"/>
  <c r="BV17" i="39"/>
  <c r="BX17" i="39"/>
  <c r="BZ17" i="39"/>
  <c r="CB17" i="39"/>
  <c r="CD17" i="39"/>
  <c r="BT17" i="41"/>
  <c r="BV17" i="41"/>
  <c r="BX17" i="41"/>
  <c r="BZ17" i="41"/>
  <c r="CB17" i="41"/>
  <c r="CD17" i="41"/>
  <c r="BE20" i="50"/>
  <c r="BG64" i="50" s="1"/>
  <c r="E21" i="50"/>
  <c r="DD221" i="50" s="1"/>
  <c r="BE15" i="35"/>
  <c r="BT18" i="35"/>
  <c r="BV18" i="35"/>
  <c r="BX18" i="35"/>
  <c r="BZ18" i="35"/>
  <c r="CB18" i="35"/>
  <c r="CD18" i="35"/>
  <c r="BE15" i="36"/>
  <c r="BG59" i="36" s="1"/>
  <c r="BT18" i="36"/>
  <c r="BV18" i="36"/>
  <c r="BX18" i="36"/>
  <c r="BZ18" i="36"/>
  <c r="CB18" i="36"/>
  <c r="CD18" i="36"/>
  <c r="BE15" i="37"/>
  <c r="BT18" i="37"/>
  <c r="BV18" i="37"/>
  <c r="BX18" i="37"/>
  <c r="BZ18" i="37"/>
  <c r="CB18" i="37"/>
  <c r="CD18" i="37"/>
  <c r="BE15" i="38"/>
  <c r="BG59" i="38" s="1"/>
  <c r="BT18" i="38"/>
  <c r="BV18" i="38"/>
  <c r="BX18" i="38"/>
  <c r="BZ18" i="38"/>
  <c r="CB18" i="38"/>
  <c r="CD18" i="38"/>
  <c r="BE15" i="39"/>
  <c r="BG59" i="39" s="1"/>
  <c r="BT18" i="39"/>
  <c r="BV18" i="39"/>
  <c r="BX18" i="39"/>
  <c r="BZ18" i="39"/>
  <c r="CB18" i="39"/>
  <c r="CD18" i="39"/>
  <c r="BE15" i="41"/>
  <c r="BG59" i="41" s="1"/>
  <c r="BT18" i="41"/>
  <c r="BV18" i="41"/>
  <c r="BX18" i="41"/>
  <c r="BZ18" i="41"/>
  <c r="CB18" i="41"/>
  <c r="CD18" i="41"/>
  <c r="E22" i="50"/>
  <c r="DD222" i="50" s="1"/>
  <c r="BT19" i="35"/>
  <c r="BV19" i="35"/>
  <c r="BX19" i="35"/>
  <c r="BZ19" i="35"/>
  <c r="CB19" i="35"/>
  <c r="CD19" i="35"/>
  <c r="BE16" i="36"/>
  <c r="BG60" i="36" s="1"/>
  <c r="BT19" i="36"/>
  <c r="BV19" i="36"/>
  <c r="BX19" i="36"/>
  <c r="BZ19" i="36"/>
  <c r="CB19" i="36"/>
  <c r="CD19" i="36"/>
  <c r="BT19" i="37"/>
  <c r="BV19" i="37"/>
  <c r="BX19" i="37"/>
  <c r="BZ19" i="37"/>
  <c r="CB19" i="37"/>
  <c r="CD19" i="37"/>
  <c r="BT19" i="38"/>
  <c r="BV19" i="38"/>
  <c r="BX19" i="38"/>
  <c r="BZ19" i="38"/>
  <c r="CB19" i="38"/>
  <c r="CD19" i="38"/>
  <c r="BT19" i="39"/>
  <c r="BV19" i="39"/>
  <c r="BX19" i="39"/>
  <c r="BZ19" i="39"/>
  <c r="CB19" i="39"/>
  <c r="CD19" i="39"/>
  <c r="BE16" i="41"/>
  <c r="BG60" i="41" s="1"/>
  <c r="BT19" i="41"/>
  <c r="BV19" i="41"/>
  <c r="BX19" i="41"/>
  <c r="BZ19" i="41"/>
  <c r="CB19" i="41"/>
  <c r="CD19" i="41"/>
  <c r="BS22" i="50"/>
  <c r="E23" i="50"/>
  <c r="DD223" i="50" s="1"/>
  <c r="BT20" i="35"/>
  <c r="BV20" i="35"/>
  <c r="BX20" i="35"/>
  <c r="BZ20" i="35"/>
  <c r="CB20" i="35"/>
  <c r="CD20" i="35"/>
  <c r="BT20" i="36"/>
  <c r="BV20" i="36"/>
  <c r="BX20" i="36"/>
  <c r="BZ20" i="36"/>
  <c r="CB20" i="36"/>
  <c r="CD20" i="36"/>
  <c r="BT20" i="37"/>
  <c r="BV20" i="37"/>
  <c r="BX20" i="37"/>
  <c r="BZ20" i="37"/>
  <c r="CB20" i="37"/>
  <c r="CD20" i="37"/>
  <c r="BT20" i="38"/>
  <c r="BV20" i="38"/>
  <c r="BX20" i="38"/>
  <c r="BZ20" i="38"/>
  <c r="CB20" i="38"/>
  <c r="CD20" i="38"/>
  <c r="BT20" i="39"/>
  <c r="BV20" i="39"/>
  <c r="BX20" i="39"/>
  <c r="BZ20" i="39"/>
  <c r="CB20" i="39"/>
  <c r="CD20" i="39"/>
  <c r="BT20" i="41"/>
  <c r="BV20" i="41"/>
  <c r="BX20" i="41"/>
  <c r="BZ20" i="41"/>
  <c r="CB20" i="41"/>
  <c r="CD20" i="41"/>
  <c r="BE23" i="50"/>
  <c r="BS23" i="50"/>
  <c r="BU23" i="50"/>
  <c r="BW23" i="50"/>
  <c r="BY23" i="50"/>
  <c r="CA23" i="50"/>
  <c r="CC23" i="50"/>
  <c r="CE23" i="50"/>
  <c r="E24" i="50"/>
  <c r="DD224" i="50" s="1"/>
  <c r="BN62" i="24"/>
  <c r="BJ62" i="24" s="1"/>
  <c r="BT21" i="24"/>
  <c r="BV21" i="24"/>
  <c r="BX21" i="24"/>
  <c r="BZ21" i="24"/>
  <c r="CB21" i="24"/>
  <c r="CD21" i="24"/>
  <c r="BN60" i="34"/>
  <c r="BJ60" i="34" s="1"/>
  <c r="BX21" i="34"/>
  <c r="BT21" i="34"/>
  <c r="BV21" i="34"/>
  <c r="BZ21" i="34"/>
  <c r="CB21" i="34"/>
  <c r="CD21" i="34"/>
  <c r="BT21" i="35"/>
  <c r="BV21" i="35"/>
  <c r="BX21" i="35"/>
  <c r="BZ21" i="35"/>
  <c r="CB21" i="35"/>
  <c r="CD21" i="35"/>
  <c r="BT21" i="36"/>
  <c r="BV21" i="36"/>
  <c r="BX21" i="36"/>
  <c r="BZ21" i="36"/>
  <c r="CB21" i="36"/>
  <c r="CD21" i="36"/>
  <c r="BT21" i="37"/>
  <c r="BV21" i="37"/>
  <c r="BX21" i="37"/>
  <c r="BZ21" i="37"/>
  <c r="CB21" i="37"/>
  <c r="CD21" i="37"/>
  <c r="BT21" i="38"/>
  <c r="BV21" i="38"/>
  <c r="BX21" i="38"/>
  <c r="BZ21" i="38"/>
  <c r="CB21" i="38"/>
  <c r="CD21" i="38"/>
  <c r="BT21" i="39"/>
  <c r="BV21" i="39"/>
  <c r="BX21" i="39"/>
  <c r="BZ21" i="39"/>
  <c r="CB21" i="39"/>
  <c r="CD21" i="39"/>
  <c r="BT21" i="41"/>
  <c r="BV21" i="41"/>
  <c r="BX21" i="41"/>
  <c r="BZ21" i="41"/>
  <c r="CB21" i="41"/>
  <c r="CD21" i="41"/>
  <c r="BE24" i="50"/>
  <c r="BG68" i="50" s="1"/>
  <c r="BU24" i="50"/>
  <c r="BW24" i="50"/>
  <c r="BY24" i="50"/>
  <c r="CA24" i="50"/>
  <c r="CC24" i="50"/>
  <c r="CE24" i="50"/>
  <c r="C25" i="50"/>
  <c r="DB225" i="50" s="1"/>
  <c r="E25" i="50"/>
  <c r="DD225" i="50" s="1"/>
  <c r="BE19" i="24"/>
  <c r="BN63" i="24"/>
  <c r="BJ63" i="24" s="1"/>
  <c r="BT22" i="24"/>
  <c r="BV22" i="24"/>
  <c r="BX22" i="24"/>
  <c r="BZ22" i="24"/>
  <c r="CB22" i="24"/>
  <c r="CD22" i="24"/>
  <c r="BN61" i="34"/>
  <c r="BJ61" i="34" s="1"/>
  <c r="BE19" i="34"/>
  <c r="BG61" i="34" s="1"/>
  <c r="BX22" i="34"/>
  <c r="BT22" i="34"/>
  <c r="BV22" i="34"/>
  <c r="BZ22" i="34"/>
  <c r="CB22" i="34"/>
  <c r="CD22" i="34"/>
  <c r="BE19" i="35"/>
  <c r="BT22" i="35"/>
  <c r="BV22" i="35"/>
  <c r="BX22" i="35"/>
  <c r="BZ22" i="35"/>
  <c r="CB22" i="35"/>
  <c r="CD22" i="35"/>
  <c r="BE19" i="36"/>
  <c r="BT22" i="36"/>
  <c r="BV22" i="36"/>
  <c r="BX22" i="36"/>
  <c r="BZ22" i="36"/>
  <c r="CB22" i="36"/>
  <c r="CD22" i="36"/>
  <c r="BE19" i="37"/>
  <c r="BT22" i="37"/>
  <c r="BV22" i="37"/>
  <c r="BX22" i="37"/>
  <c r="BZ22" i="37"/>
  <c r="CB22" i="37"/>
  <c r="CD22" i="37"/>
  <c r="BE19" i="38"/>
  <c r="BT22" i="38"/>
  <c r="BV22" i="38"/>
  <c r="BX22" i="38"/>
  <c r="BZ22" i="38"/>
  <c r="CB22" i="38"/>
  <c r="CD22" i="38"/>
  <c r="BE19" i="39"/>
  <c r="BG63" i="39" s="1"/>
  <c r="BT22" i="39"/>
  <c r="BV22" i="39"/>
  <c r="BX22" i="39"/>
  <c r="BZ22" i="39"/>
  <c r="CB22" i="39"/>
  <c r="CD22" i="39"/>
  <c r="BE19" i="41"/>
  <c r="BT22" i="41"/>
  <c r="BV22" i="41"/>
  <c r="BX22" i="41"/>
  <c r="BZ22" i="41"/>
  <c r="CB22" i="41"/>
  <c r="CD22" i="41"/>
  <c r="BU25" i="50"/>
  <c r="BW25" i="50"/>
  <c r="BY25" i="50"/>
  <c r="CA25" i="50"/>
  <c r="CC25" i="50"/>
  <c r="CE25" i="50"/>
  <c r="C26" i="50"/>
  <c r="DB226" i="50" s="1"/>
  <c r="E26" i="50"/>
  <c r="DD226" i="50" s="1"/>
  <c r="BS26" i="50"/>
  <c r="BU26" i="50"/>
  <c r="BW26" i="50"/>
  <c r="BY26" i="50"/>
  <c r="CA26" i="50"/>
  <c r="CC26" i="50"/>
  <c r="CE26" i="50"/>
  <c r="C27" i="50"/>
  <c r="DB227" i="50" s="1"/>
  <c r="E27" i="50"/>
  <c r="DD227" i="50" s="1"/>
  <c r="BF27" i="50"/>
  <c r="BS27" i="50"/>
  <c r="BU27" i="50"/>
  <c r="BW27" i="50"/>
  <c r="BY27" i="50"/>
  <c r="CA27" i="50"/>
  <c r="CC27" i="50"/>
  <c r="CE27" i="50"/>
  <c r="E28" i="50"/>
  <c r="DD228" i="50" s="1"/>
  <c r="C29" i="50"/>
  <c r="DB229" i="50" s="1"/>
  <c r="E29" i="50"/>
  <c r="DD229" i="50" s="1"/>
  <c r="BT29" i="50"/>
  <c r="BU29" i="50" s="1"/>
  <c r="BV29" i="50"/>
  <c r="BX29" i="50"/>
  <c r="BY29" i="50" s="1"/>
  <c r="BZ29" i="50"/>
  <c r="CA29" i="50" s="1"/>
  <c r="CB29" i="50"/>
  <c r="CC29" i="50" s="1"/>
  <c r="CD29" i="50"/>
  <c r="CE29" i="50" s="1"/>
  <c r="C30" i="50"/>
  <c r="DB230" i="50" s="1"/>
  <c r="E30" i="50"/>
  <c r="DD230" i="50" s="1"/>
  <c r="BT28" i="34"/>
  <c r="BX28" i="34"/>
  <c r="BV28" i="34"/>
  <c r="BZ28" i="34"/>
  <c r="CB28" i="34"/>
  <c r="CD28" i="34"/>
  <c r="BT28" i="35"/>
  <c r="BV28" i="35"/>
  <c r="CB28" i="35"/>
  <c r="CD28" i="35"/>
  <c r="BT28" i="36"/>
  <c r="BV28" i="36"/>
  <c r="BX28" i="36"/>
  <c r="BZ28" i="36"/>
  <c r="CB28" i="36"/>
  <c r="CD28" i="36"/>
  <c r="BC31" i="37"/>
  <c r="BG26" i="37"/>
  <c r="BI69" i="37" s="1"/>
  <c r="BT28" i="37"/>
  <c r="BV28" i="37"/>
  <c r="BX28" i="37"/>
  <c r="BZ28" i="37"/>
  <c r="CB28" i="37"/>
  <c r="CD28" i="37"/>
  <c r="BC31" i="38"/>
  <c r="BG26" i="38"/>
  <c r="BI69" i="38" s="1"/>
  <c r="BT28" i="38"/>
  <c r="BV28" i="38"/>
  <c r="BX28" i="38"/>
  <c r="BZ28" i="38"/>
  <c r="CB28" i="38"/>
  <c r="CD28" i="38"/>
  <c r="BC31" i="39"/>
  <c r="BT28" i="39"/>
  <c r="BV28" i="39"/>
  <c r="BX28" i="39"/>
  <c r="BZ28" i="39"/>
  <c r="CB28" i="39"/>
  <c r="CD28" i="39"/>
  <c r="BC31" i="41"/>
  <c r="BG26" i="41"/>
  <c r="BI69" i="41" s="1"/>
  <c r="BT28" i="41"/>
  <c r="BV28" i="41"/>
  <c r="BX28" i="41"/>
  <c r="BZ28" i="41"/>
  <c r="CB28" i="41"/>
  <c r="CD28" i="41"/>
  <c r="G34" i="50"/>
  <c r="I34" i="50"/>
  <c r="K34" i="50"/>
  <c r="M34" i="50"/>
  <c r="O34" i="50"/>
  <c r="Q34" i="50"/>
  <c r="S34" i="50"/>
  <c r="U34" i="50"/>
  <c r="W34" i="50"/>
  <c r="K47" i="50"/>
  <c r="L7" i="45"/>
  <c r="N7" i="46"/>
  <c r="P7" i="47"/>
  <c r="E57" i="50"/>
  <c r="E58" i="50"/>
  <c r="E59" i="50"/>
  <c r="E60" i="50"/>
  <c r="E61" i="50"/>
  <c r="E62" i="50"/>
  <c r="E63" i="50"/>
  <c r="E64" i="50"/>
  <c r="E65" i="50"/>
  <c r="E66" i="50"/>
  <c r="D67" i="50"/>
  <c r="E67" i="50"/>
  <c r="E68" i="50"/>
  <c r="E69" i="50"/>
  <c r="E70" i="50"/>
  <c r="E71" i="50"/>
  <c r="E72" i="50"/>
  <c r="E73" i="50"/>
  <c r="E74" i="50"/>
  <c r="E75" i="50"/>
  <c r="E76" i="50"/>
  <c r="E80" i="50"/>
  <c r="G80" i="50"/>
  <c r="I34" i="43"/>
  <c r="K34" i="44"/>
  <c r="M34" i="45"/>
  <c r="O34" i="46"/>
  <c r="Q34" i="47"/>
  <c r="S34" i="48"/>
  <c r="BE19" i="49"/>
  <c r="BT22" i="49"/>
  <c r="BV22" i="49"/>
  <c r="BX22" i="49"/>
  <c r="BZ22" i="49"/>
  <c r="CB22" i="49"/>
  <c r="CD22" i="49"/>
  <c r="BT21" i="49"/>
  <c r="BV21" i="49"/>
  <c r="BX21" i="49"/>
  <c r="BZ21" i="49"/>
  <c r="CB21" i="49"/>
  <c r="CD21" i="49"/>
  <c r="K1" i="49"/>
  <c r="BF2" i="49"/>
  <c r="L7" i="49"/>
  <c r="P7" i="49"/>
  <c r="E11" i="49"/>
  <c r="DD211" i="49" s="1"/>
  <c r="E12" i="49"/>
  <c r="DD212" i="49" s="1"/>
  <c r="BR12" i="49"/>
  <c r="E13" i="49"/>
  <c r="DD213" i="49" s="1"/>
  <c r="E14" i="49"/>
  <c r="DD214" i="49" s="1"/>
  <c r="C15" i="49"/>
  <c r="DB215" i="49" s="1"/>
  <c r="E15" i="49"/>
  <c r="DD215" i="49" s="1"/>
  <c r="E16" i="49"/>
  <c r="DD216" i="49" s="1"/>
  <c r="E17" i="49"/>
  <c r="DD217" i="49" s="1"/>
  <c r="E18" i="49"/>
  <c r="DD218" i="49" s="1"/>
  <c r="C19" i="49"/>
  <c r="DB219" i="49" s="1"/>
  <c r="E19" i="49"/>
  <c r="DD219" i="49" s="1"/>
  <c r="E20" i="49"/>
  <c r="DD220" i="49" s="1"/>
  <c r="BE20" i="49"/>
  <c r="BG64" i="49" s="1"/>
  <c r="E21" i="49"/>
  <c r="DD221" i="49" s="1"/>
  <c r="E22" i="49"/>
  <c r="DD222" i="49" s="1"/>
  <c r="BR22" i="49"/>
  <c r="E23" i="49"/>
  <c r="DD223" i="49" s="1"/>
  <c r="BE23" i="49"/>
  <c r="BG67" i="49" s="1"/>
  <c r="BR23" i="49"/>
  <c r="BT23" i="49"/>
  <c r="BV23" i="49"/>
  <c r="BX23" i="49"/>
  <c r="BZ23" i="49"/>
  <c r="CB23" i="49"/>
  <c r="CD23" i="49"/>
  <c r="E24" i="49"/>
  <c r="DD224" i="49" s="1"/>
  <c r="BE24" i="49"/>
  <c r="BT24" i="49"/>
  <c r="BV24" i="49"/>
  <c r="BX24" i="49"/>
  <c r="BZ24" i="49"/>
  <c r="CB24" i="49"/>
  <c r="CD24" i="49"/>
  <c r="C25" i="49"/>
  <c r="DB225" i="49" s="1"/>
  <c r="E25" i="49"/>
  <c r="DD225" i="49" s="1"/>
  <c r="BT25" i="49"/>
  <c r="BV25" i="49"/>
  <c r="BX25" i="49"/>
  <c r="BZ25" i="49"/>
  <c r="CB25" i="49"/>
  <c r="CD25" i="49"/>
  <c r="C26" i="49"/>
  <c r="DB226" i="49" s="1"/>
  <c r="E26" i="49"/>
  <c r="DD226" i="49" s="1"/>
  <c r="BR26" i="49"/>
  <c r="BT26" i="49"/>
  <c r="BV26" i="49"/>
  <c r="BX26" i="49"/>
  <c r="BZ26" i="49"/>
  <c r="CB26" i="49"/>
  <c r="CD26" i="49"/>
  <c r="E27" i="49"/>
  <c r="DD227" i="49" s="1"/>
  <c r="BF27" i="49"/>
  <c r="BR27" i="49"/>
  <c r="BT27" i="49"/>
  <c r="BV27" i="49"/>
  <c r="BX27" i="49"/>
  <c r="BZ27" i="49"/>
  <c r="CB27" i="49"/>
  <c r="CD27" i="49"/>
  <c r="D28" i="49"/>
  <c r="DC228" i="49" s="1"/>
  <c r="E28" i="49"/>
  <c r="DD228" i="49" s="1"/>
  <c r="C29" i="49"/>
  <c r="DB229" i="49" s="1"/>
  <c r="E29" i="49"/>
  <c r="DD229" i="49" s="1"/>
  <c r="BS29" i="49"/>
  <c r="BU29" i="49"/>
  <c r="BW29" i="49"/>
  <c r="BX29" i="49" s="1"/>
  <c r="BY29" i="49"/>
  <c r="BZ29" i="49" s="1"/>
  <c r="CA29" i="49"/>
  <c r="CB29" i="49" s="1"/>
  <c r="CC29" i="49"/>
  <c r="CD29" i="49" s="1"/>
  <c r="C30" i="49"/>
  <c r="DB230" i="49" s="1"/>
  <c r="E30" i="49"/>
  <c r="DD230" i="49" s="1"/>
  <c r="G34" i="49"/>
  <c r="I34" i="49"/>
  <c r="K34" i="49"/>
  <c r="M34" i="49"/>
  <c r="O34" i="49"/>
  <c r="Q34" i="49"/>
  <c r="S34" i="49"/>
  <c r="W34" i="49"/>
  <c r="K47" i="49"/>
  <c r="E57" i="49"/>
  <c r="E58" i="49"/>
  <c r="E59" i="49"/>
  <c r="E60" i="49"/>
  <c r="E61" i="49"/>
  <c r="E62" i="49"/>
  <c r="E63" i="49"/>
  <c r="E64" i="49"/>
  <c r="E65" i="49"/>
  <c r="E66" i="49"/>
  <c r="E67" i="49"/>
  <c r="E68" i="49"/>
  <c r="E69" i="49"/>
  <c r="E70" i="49"/>
  <c r="E71" i="49"/>
  <c r="E72" i="49"/>
  <c r="E73" i="49"/>
  <c r="D74" i="49"/>
  <c r="E74" i="49"/>
  <c r="E75" i="49"/>
  <c r="E76" i="49"/>
  <c r="E80" i="49"/>
  <c r="G80" i="49"/>
  <c r="BE19" i="48"/>
  <c r="BT22" i="48"/>
  <c r="BV22" i="48"/>
  <c r="BX22" i="48"/>
  <c r="BZ22" i="48"/>
  <c r="CB22" i="48"/>
  <c r="CD22" i="48"/>
  <c r="CE22" i="48"/>
  <c r="BT21" i="48"/>
  <c r="BV21" i="48"/>
  <c r="BX21" i="48"/>
  <c r="BZ21" i="48"/>
  <c r="CB21" i="48"/>
  <c r="CD21" i="48"/>
  <c r="K1" i="48"/>
  <c r="BF2" i="48"/>
  <c r="J3" i="48"/>
  <c r="L7" i="48"/>
  <c r="N7" i="48"/>
  <c r="P7" i="48"/>
  <c r="E11" i="48"/>
  <c r="DD211" i="48" s="1"/>
  <c r="E12" i="48"/>
  <c r="DD212" i="48" s="1"/>
  <c r="BR12" i="48"/>
  <c r="E13" i="48"/>
  <c r="DD213" i="48" s="1"/>
  <c r="E14" i="48"/>
  <c r="DD214" i="48" s="1"/>
  <c r="E15" i="48"/>
  <c r="DD215" i="48" s="1"/>
  <c r="E16" i="48"/>
  <c r="DD216" i="48" s="1"/>
  <c r="E17" i="48"/>
  <c r="DD217" i="48" s="1"/>
  <c r="C18" i="48"/>
  <c r="DB218" i="48" s="1"/>
  <c r="E18" i="48"/>
  <c r="DD218" i="48" s="1"/>
  <c r="BR18" i="48"/>
  <c r="C19" i="48"/>
  <c r="DB219" i="48" s="1"/>
  <c r="E19" i="48"/>
  <c r="DD219" i="48" s="1"/>
  <c r="E20" i="48"/>
  <c r="DD220" i="48" s="1"/>
  <c r="BE20" i="48"/>
  <c r="BG64" i="48" s="1"/>
  <c r="C21" i="48"/>
  <c r="DB221" i="48" s="1"/>
  <c r="E21" i="48"/>
  <c r="DD221" i="48" s="1"/>
  <c r="C22" i="48"/>
  <c r="DB222" i="48" s="1"/>
  <c r="E22" i="48"/>
  <c r="DD222" i="48" s="1"/>
  <c r="BR22" i="48"/>
  <c r="E23" i="48"/>
  <c r="DD223" i="48" s="1"/>
  <c r="BE23" i="48"/>
  <c r="BG67" i="48" s="1"/>
  <c r="BR23" i="48"/>
  <c r="BT23" i="48"/>
  <c r="BV23" i="48"/>
  <c r="BX23" i="48"/>
  <c r="BZ23" i="48"/>
  <c r="CB23" i="48"/>
  <c r="CD23" i="48"/>
  <c r="E24" i="48"/>
  <c r="DD224" i="48" s="1"/>
  <c r="BE24" i="48"/>
  <c r="BG68" i="48" s="1"/>
  <c r="BT24" i="48"/>
  <c r="BV24" i="48"/>
  <c r="BX24" i="48"/>
  <c r="BZ24" i="48"/>
  <c r="CB24" i="48"/>
  <c r="CD24" i="48"/>
  <c r="C25" i="48"/>
  <c r="DB225" i="48" s="1"/>
  <c r="E25" i="48"/>
  <c r="DD225" i="48" s="1"/>
  <c r="BT25" i="48"/>
  <c r="BV25" i="48"/>
  <c r="BX25" i="48"/>
  <c r="BZ25" i="48"/>
  <c r="CB25" i="48"/>
  <c r="CD25" i="48"/>
  <c r="C26" i="48"/>
  <c r="DB226" i="48" s="1"/>
  <c r="E26" i="48"/>
  <c r="DD226" i="48" s="1"/>
  <c r="BR26" i="48"/>
  <c r="BT26" i="48"/>
  <c r="BV26" i="48"/>
  <c r="BX26" i="48"/>
  <c r="BZ26" i="48"/>
  <c r="CB26" i="48"/>
  <c r="CD26" i="48"/>
  <c r="E27" i="48"/>
  <c r="DD227" i="48" s="1"/>
  <c r="BF27" i="48"/>
  <c r="BF30" i="48" s="1"/>
  <c r="BR27" i="48"/>
  <c r="BT27" i="48"/>
  <c r="BV27" i="48"/>
  <c r="BX27" i="48"/>
  <c r="BZ27" i="48"/>
  <c r="CB27" i="48"/>
  <c r="CD27" i="48"/>
  <c r="E28" i="48"/>
  <c r="DD228" i="48" s="1"/>
  <c r="C29" i="48"/>
  <c r="DB229" i="48" s="1"/>
  <c r="E29" i="48"/>
  <c r="DD229" i="48" s="1"/>
  <c r="BS29" i="48"/>
  <c r="BU29" i="48"/>
  <c r="BV29" i="48" s="1"/>
  <c r="BW29" i="48"/>
  <c r="BX29" i="48" s="1"/>
  <c r="BY29" i="48"/>
  <c r="BZ29" i="48" s="1"/>
  <c r="CA29" i="48"/>
  <c r="CB29" i="48" s="1"/>
  <c r="CC29" i="48"/>
  <c r="CD29" i="48" s="1"/>
  <c r="C30" i="48"/>
  <c r="DB230" i="48" s="1"/>
  <c r="E30" i="48"/>
  <c r="DD230" i="48" s="1"/>
  <c r="G34" i="48"/>
  <c r="I34" i="48"/>
  <c r="K34" i="48"/>
  <c r="M34" i="48"/>
  <c r="O34" i="48"/>
  <c r="Q34" i="48"/>
  <c r="U34" i="48"/>
  <c r="W34" i="48"/>
  <c r="K47" i="48"/>
  <c r="D49" i="48"/>
  <c r="E57" i="48"/>
  <c r="E58" i="48"/>
  <c r="E59" i="48"/>
  <c r="E60" i="48"/>
  <c r="E61" i="48"/>
  <c r="E62" i="48"/>
  <c r="E63" i="48"/>
  <c r="E64" i="48"/>
  <c r="E65" i="48"/>
  <c r="E66" i="48"/>
  <c r="E67" i="48"/>
  <c r="E68" i="48"/>
  <c r="E69" i="48"/>
  <c r="E70" i="48"/>
  <c r="E71" i="48"/>
  <c r="E72" i="48"/>
  <c r="E73" i="48"/>
  <c r="E74" i="48"/>
  <c r="E75" i="48"/>
  <c r="D76" i="48"/>
  <c r="E76" i="48"/>
  <c r="E80" i="48"/>
  <c r="G80" i="48"/>
  <c r="BE19" i="47"/>
  <c r="BT22" i="47"/>
  <c r="BV22" i="47"/>
  <c r="BX22" i="47"/>
  <c r="BZ22" i="47"/>
  <c r="CB22" i="47"/>
  <c r="CD22" i="47"/>
  <c r="BT21" i="47"/>
  <c r="BV21" i="47"/>
  <c r="BX21" i="47"/>
  <c r="BZ21" i="47"/>
  <c r="CB21" i="47"/>
  <c r="CD21" i="47"/>
  <c r="K1" i="47"/>
  <c r="BF2" i="47"/>
  <c r="J3" i="47"/>
  <c r="L7" i="47"/>
  <c r="N7" i="47"/>
  <c r="E11" i="47"/>
  <c r="DD211" i="47" s="1"/>
  <c r="E12" i="47"/>
  <c r="DD212" i="47" s="1"/>
  <c r="BR12" i="47"/>
  <c r="E13" i="47"/>
  <c r="DD213" i="47" s="1"/>
  <c r="E14" i="47"/>
  <c r="DD214" i="47" s="1"/>
  <c r="E15" i="47"/>
  <c r="DD215" i="47" s="1"/>
  <c r="E16" i="47"/>
  <c r="DD216" i="47" s="1"/>
  <c r="E17" i="47"/>
  <c r="DD217" i="47" s="1"/>
  <c r="E18" i="47"/>
  <c r="DD218" i="47" s="1"/>
  <c r="BR18" i="47"/>
  <c r="E19" i="47"/>
  <c r="DD219" i="47" s="1"/>
  <c r="E20" i="47"/>
  <c r="DD220" i="47" s="1"/>
  <c r="BE20" i="47"/>
  <c r="BG64" i="47" s="1"/>
  <c r="C21" i="47"/>
  <c r="DB221" i="47" s="1"/>
  <c r="E21" i="47"/>
  <c r="DD221" i="47" s="1"/>
  <c r="E22" i="47"/>
  <c r="DD222" i="47" s="1"/>
  <c r="BR22" i="47"/>
  <c r="E23" i="47"/>
  <c r="DD223" i="47" s="1"/>
  <c r="BE23" i="47"/>
  <c r="BR23" i="47"/>
  <c r="BT23" i="47"/>
  <c r="BV23" i="47"/>
  <c r="BX23" i="47"/>
  <c r="BZ23" i="47"/>
  <c r="CB23" i="47"/>
  <c r="CD23" i="47"/>
  <c r="E24" i="47"/>
  <c r="DD224" i="47" s="1"/>
  <c r="BE24" i="47"/>
  <c r="BT24" i="47"/>
  <c r="BV24" i="47"/>
  <c r="BX24" i="47"/>
  <c r="BZ24" i="47"/>
  <c r="CB24" i="47"/>
  <c r="CD24" i="47"/>
  <c r="C25" i="47"/>
  <c r="DB225" i="47" s="1"/>
  <c r="E25" i="47"/>
  <c r="DD225" i="47" s="1"/>
  <c r="BT25" i="47"/>
  <c r="BV25" i="47"/>
  <c r="BX25" i="47"/>
  <c r="BZ25" i="47"/>
  <c r="CB25" i="47"/>
  <c r="CD25" i="47"/>
  <c r="C26" i="47"/>
  <c r="DB226" i="47" s="1"/>
  <c r="E26" i="47"/>
  <c r="DD226" i="47" s="1"/>
  <c r="BR26" i="47"/>
  <c r="BT26" i="47"/>
  <c r="BV26" i="47"/>
  <c r="BX26" i="47"/>
  <c r="BZ26" i="47"/>
  <c r="CB26" i="47"/>
  <c r="CD26" i="47"/>
  <c r="D27" i="47"/>
  <c r="DC227" i="47" s="1"/>
  <c r="E27" i="47"/>
  <c r="DD227" i="47" s="1"/>
  <c r="BR27" i="47"/>
  <c r="BT27" i="47"/>
  <c r="BV27" i="47"/>
  <c r="BX27" i="47"/>
  <c r="BZ27" i="47"/>
  <c r="CB27" i="47"/>
  <c r="CD27" i="47"/>
  <c r="D28" i="47"/>
  <c r="DC228" i="47" s="1"/>
  <c r="E28" i="47"/>
  <c r="DD228" i="47" s="1"/>
  <c r="C29" i="47"/>
  <c r="DB229" i="47" s="1"/>
  <c r="E29" i="47"/>
  <c r="DD229" i="47" s="1"/>
  <c r="BS29" i="47"/>
  <c r="BU29" i="47"/>
  <c r="BV29" i="47" s="1"/>
  <c r="BW29" i="47"/>
  <c r="BX29" i="47" s="1"/>
  <c r="BY29" i="47"/>
  <c r="BZ29" i="47" s="1"/>
  <c r="CA29" i="47"/>
  <c r="CB29" i="47" s="1"/>
  <c r="CC29" i="47"/>
  <c r="CD29" i="47" s="1"/>
  <c r="C30" i="47"/>
  <c r="DB230" i="47" s="1"/>
  <c r="D30" i="47"/>
  <c r="DC230" i="47" s="1"/>
  <c r="E30" i="47"/>
  <c r="DD230" i="47" s="1"/>
  <c r="G34" i="47"/>
  <c r="I34" i="47"/>
  <c r="K34" i="47"/>
  <c r="M34" i="47"/>
  <c r="O34" i="47"/>
  <c r="S34" i="47"/>
  <c r="U34" i="47"/>
  <c r="W34" i="47"/>
  <c r="K47" i="47"/>
  <c r="E57" i="47"/>
  <c r="E58" i="47"/>
  <c r="E59" i="47"/>
  <c r="E60" i="47"/>
  <c r="E61" i="47"/>
  <c r="E62" i="47"/>
  <c r="E63" i="47"/>
  <c r="E64" i="47"/>
  <c r="E65" i="47"/>
  <c r="E66" i="47"/>
  <c r="E67" i="47"/>
  <c r="E68" i="47"/>
  <c r="E69" i="47"/>
  <c r="E70" i="47"/>
  <c r="E71" i="47"/>
  <c r="E72" i="47"/>
  <c r="E73" i="47"/>
  <c r="D74" i="47"/>
  <c r="E74" i="47"/>
  <c r="E75" i="47"/>
  <c r="D76" i="47"/>
  <c r="E76" i="47"/>
  <c r="E80" i="47"/>
  <c r="G80" i="47"/>
  <c r="BE19" i="46"/>
  <c r="BT22" i="46"/>
  <c r="BV22" i="46"/>
  <c r="BX22" i="46"/>
  <c r="BZ22" i="46"/>
  <c r="CB22" i="46"/>
  <c r="CD22" i="46"/>
  <c r="BT21" i="46"/>
  <c r="BV21" i="46"/>
  <c r="BX21" i="46"/>
  <c r="BZ21" i="46"/>
  <c r="CB21" i="46"/>
  <c r="CD21" i="46"/>
  <c r="K1" i="46"/>
  <c r="BF2" i="46"/>
  <c r="J3" i="46"/>
  <c r="L7" i="46"/>
  <c r="P7" i="46"/>
  <c r="E11" i="46"/>
  <c r="DD211" i="46" s="1"/>
  <c r="E12" i="46"/>
  <c r="DD212" i="46" s="1"/>
  <c r="E13" i="46"/>
  <c r="DD213" i="46" s="1"/>
  <c r="E14" i="46"/>
  <c r="DD214" i="46" s="1"/>
  <c r="C15" i="46"/>
  <c r="DB215" i="46" s="1"/>
  <c r="E15" i="46"/>
  <c r="DD215" i="46" s="1"/>
  <c r="E16" i="46"/>
  <c r="DD216" i="46" s="1"/>
  <c r="E17" i="46"/>
  <c r="DD217" i="46" s="1"/>
  <c r="E18" i="46"/>
  <c r="DD218" i="46" s="1"/>
  <c r="BR18" i="46"/>
  <c r="E19" i="46"/>
  <c r="DD219" i="46" s="1"/>
  <c r="E20" i="46"/>
  <c r="DD220" i="46" s="1"/>
  <c r="BE20" i="46"/>
  <c r="C21" i="46"/>
  <c r="DB221" i="46" s="1"/>
  <c r="E21" i="46"/>
  <c r="DD221" i="46" s="1"/>
  <c r="BE21" i="46"/>
  <c r="E22" i="46"/>
  <c r="DD222" i="46" s="1"/>
  <c r="BR22" i="46"/>
  <c r="E23" i="46"/>
  <c r="DD223" i="46" s="1"/>
  <c r="BE23" i="46"/>
  <c r="BR23" i="46"/>
  <c r="BT23" i="46"/>
  <c r="BV23" i="46"/>
  <c r="BX23" i="46"/>
  <c r="BZ23" i="46"/>
  <c r="CB23" i="46"/>
  <c r="CD23" i="46"/>
  <c r="E24" i="46"/>
  <c r="DD224" i="46" s="1"/>
  <c r="BE24" i="46"/>
  <c r="BI68" i="46" s="1"/>
  <c r="BT24" i="46"/>
  <c r="BV24" i="46"/>
  <c r="BX24" i="46"/>
  <c r="BZ24" i="46"/>
  <c r="CB24" i="46"/>
  <c r="CD24" i="46"/>
  <c r="C25" i="46"/>
  <c r="DB225" i="46" s="1"/>
  <c r="E25" i="46"/>
  <c r="DD225" i="46" s="1"/>
  <c r="BT25" i="46"/>
  <c r="BV25" i="46"/>
  <c r="BX25" i="46"/>
  <c r="BZ25" i="46"/>
  <c r="CB25" i="46"/>
  <c r="CD25" i="46"/>
  <c r="C26" i="46"/>
  <c r="DB226" i="46" s="1"/>
  <c r="E26" i="46"/>
  <c r="DD226" i="46" s="1"/>
  <c r="BR26" i="46"/>
  <c r="BT26" i="46"/>
  <c r="BV26" i="46"/>
  <c r="BX26" i="46"/>
  <c r="BZ26" i="46"/>
  <c r="CB26" i="46"/>
  <c r="CD26" i="46"/>
  <c r="E27" i="46"/>
  <c r="DD227" i="46" s="1"/>
  <c r="BF27" i="46"/>
  <c r="BF30" i="46"/>
  <c r="BR27" i="46"/>
  <c r="BT27" i="46"/>
  <c r="BV27" i="46"/>
  <c r="BX27" i="46"/>
  <c r="BZ27" i="46"/>
  <c r="CB27" i="46"/>
  <c r="CD27" i="46"/>
  <c r="D28" i="46"/>
  <c r="DC228" i="46" s="1"/>
  <c r="E28" i="46"/>
  <c r="DD228" i="46" s="1"/>
  <c r="C29" i="46"/>
  <c r="DB229" i="46" s="1"/>
  <c r="E29" i="46"/>
  <c r="DD229" i="46" s="1"/>
  <c r="BS29" i="46"/>
  <c r="BU29" i="46"/>
  <c r="BV29" i="46" s="1"/>
  <c r="BW29" i="46"/>
  <c r="BY29" i="46"/>
  <c r="BZ29" i="46" s="1"/>
  <c r="CA29" i="46"/>
  <c r="CB29" i="46" s="1"/>
  <c r="CC29" i="46"/>
  <c r="CD29" i="46" s="1"/>
  <c r="C30" i="46"/>
  <c r="DB230" i="46" s="1"/>
  <c r="D30" i="46"/>
  <c r="DC230" i="46" s="1"/>
  <c r="E30" i="46"/>
  <c r="DD230" i="46" s="1"/>
  <c r="G34" i="46"/>
  <c r="I34" i="46"/>
  <c r="K34" i="46"/>
  <c r="M34" i="46"/>
  <c r="Q34" i="46"/>
  <c r="S34" i="46"/>
  <c r="U34" i="46"/>
  <c r="W34" i="46"/>
  <c r="K47" i="46"/>
  <c r="E57" i="46"/>
  <c r="E58" i="46"/>
  <c r="E59" i="46"/>
  <c r="E60" i="46"/>
  <c r="E61" i="46"/>
  <c r="E62" i="46"/>
  <c r="E63" i="46"/>
  <c r="E64" i="46"/>
  <c r="E65" i="46"/>
  <c r="E66" i="46"/>
  <c r="E67" i="46"/>
  <c r="E68" i="46"/>
  <c r="E69" i="46"/>
  <c r="E70" i="46"/>
  <c r="E71" i="46"/>
  <c r="E72" i="46"/>
  <c r="D73" i="46"/>
  <c r="E73" i="46"/>
  <c r="D74" i="46"/>
  <c r="E74" i="46"/>
  <c r="E75" i="46"/>
  <c r="E76" i="46"/>
  <c r="E80" i="46"/>
  <c r="G80" i="46"/>
  <c r="BE19" i="45"/>
  <c r="BT22" i="45"/>
  <c r="BV22" i="45"/>
  <c r="BX22" i="45"/>
  <c r="BZ22" i="45"/>
  <c r="CB22" i="45"/>
  <c r="CD22" i="45"/>
  <c r="BT21" i="45"/>
  <c r="BV21" i="45"/>
  <c r="BX21" i="45"/>
  <c r="BZ21" i="45"/>
  <c r="CB21" i="45"/>
  <c r="CD21" i="45"/>
  <c r="K1" i="45"/>
  <c r="BF2" i="45"/>
  <c r="J3" i="45"/>
  <c r="N7" i="45"/>
  <c r="P7" i="45"/>
  <c r="E11" i="45"/>
  <c r="DD211" i="45" s="1"/>
  <c r="E12" i="45"/>
  <c r="DD212" i="45" s="1"/>
  <c r="BR12" i="45"/>
  <c r="E13" i="45"/>
  <c r="DD213" i="45" s="1"/>
  <c r="E14" i="45"/>
  <c r="DD214" i="45" s="1"/>
  <c r="C15" i="45"/>
  <c r="DB215" i="45" s="1"/>
  <c r="E15" i="45"/>
  <c r="DD215" i="45" s="1"/>
  <c r="E16" i="45"/>
  <c r="DD216" i="45" s="1"/>
  <c r="E17" i="45"/>
  <c r="DD217" i="45" s="1"/>
  <c r="C18" i="45"/>
  <c r="DB218" i="45" s="1"/>
  <c r="E18" i="45"/>
  <c r="DD218" i="45" s="1"/>
  <c r="BR18" i="45"/>
  <c r="E19" i="45"/>
  <c r="DD219" i="45" s="1"/>
  <c r="BR19" i="45"/>
  <c r="E20" i="45"/>
  <c r="DD220" i="45" s="1"/>
  <c r="BE20" i="45"/>
  <c r="BG64" i="45" s="1"/>
  <c r="C21" i="45"/>
  <c r="DB221" i="45" s="1"/>
  <c r="E21" i="45"/>
  <c r="DD221" i="45" s="1"/>
  <c r="E22" i="45"/>
  <c r="DD222" i="45" s="1"/>
  <c r="BR22" i="45"/>
  <c r="E23" i="45"/>
  <c r="DD223" i="45" s="1"/>
  <c r="BE23" i="45"/>
  <c r="BI67" i="45" s="1"/>
  <c r="BR23" i="45"/>
  <c r="BT23" i="45"/>
  <c r="BV23" i="45"/>
  <c r="BX23" i="45"/>
  <c r="BZ23" i="45"/>
  <c r="CB23" i="45"/>
  <c r="CD23" i="45"/>
  <c r="E24" i="45"/>
  <c r="DD224" i="45" s="1"/>
  <c r="BE24" i="45"/>
  <c r="BI68" i="45" s="1"/>
  <c r="BR24" i="45"/>
  <c r="BT24" i="45"/>
  <c r="BV24" i="45"/>
  <c r="BX24" i="45"/>
  <c r="BZ24" i="45"/>
  <c r="CB24" i="45"/>
  <c r="CD24" i="45"/>
  <c r="C25" i="45"/>
  <c r="DB225" i="45" s="1"/>
  <c r="E25" i="45"/>
  <c r="DD225" i="45" s="1"/>
  <c r="BT25" i="45"/>
  <c r="BV25" i="45"/>
  <c r="BX25" i="45"/>
  <c r="BZ25" i="45"/>
  <c r="CB25" i="45"/>
  <c r="CD25" i="45"/>
  <c r="C26" i="45"/>
  <c r="DB226" i="45" s="1"/>
  <c r="E26" i="45"/>
  <c r="DD226" i="45" s="1"/>
  <c r="BR26" i="45"/>
  <c r="BT26" i="45"/>
  <c r="BV26" i="45"/>
  <c r="BX26" i="45"/>
  <c r="BZ26" i="45"/>
  <c r="CB26" i="45"/>
  <c r="CD26" i="45"/>
  <c r="C27" i="45"/>
  <c r="DB227" i="45" s="1"/>
  <c r="E27" i="45"/>
  <c r="DD227" i="45" s="1"/>
  <c r="BF27" i="45"/>
  <c r="BR27" i="45"/>
  <c r="BT27" i="45"/>
  <c r="BV27" i="45"/>
  <c r="BX27" i="45"/>
  <c r="BZ27" i="45"/>
  <c r="CB27" i="45"/>
  <c r="CD27" i="45"/>
  <c r="D28" i="45"/>
  <c r="DC228" i="45" s="1"/>
  <c r="E28" i="45"/>
  <c r="DD228" i="45" s="1"/>
  <c r="C29" i="45"/>
  <c r="DB229" i="45" s="1"/>
  <c r="E29" i="45"/>
  <c r="DD229" i="45" s="1"/>
  <c r="BS29" i="45"/>
  <c r="BT29" i="45" s="1"/>
  <c r="BU29" i="45"/>
  <c r="BV29" i="45" s="1"/>
  <c r="BW29" i="45"/>
  <c r="BX29" i="45" s="1"/>
  <c r="BY29" i="45"/>
  <c r="CA29" i="45"/>
  <c r="CB29" i="45" s="1"/>
  <c r="CC29" i="45"/>
  <c r="CD29" i="45" s="1"/>
  <c r="C30" i="45"/>
  <c r="DB230" i="45" s="1"/>
  <c r="E30" i="45"/>
  <c r="DD230" i="45" s="1"/>
  <c r="G34" i="45"/>
  <c r="I34" i="45"/>
  <c r="K34" i="45"/>
  <c r="O34" i="45"/>
  <c r="Q34" i="45"/>
  <c r="S34" i="45"/>
  <c r="U34" i="45"/>
  <c r="W34" i="45"/>
  <c r="K47" i="45"/>
  <c r="G49" i="45"/>
  <c r="E57" i="45"/>
  <c r="E58" i="45"/>
  <c r="E59" i="45"/>
  <c r="E60" i="45"/>
  <c r="E61" i="45"/>
  <c r="E62" i="45"/>
  <c r="E63" i="45"/>
  <c r="BG63" i="45"/>
  <c r="E64" i="45"/>
  <c r="E65" i="45"/>
  <c r="E66" i="45"/>
  <c r="E67" i="45"/>
  <c r="E68" i="45"/>
  <c r="E69" i="45"/>
  <c r="E70" i="45"/>
  <c r="E71" i="45"/>
  <c r="E72" i="45"/>
  <c r="E73" i="45"/>
  <c r="D74" i="45"/>
  <c r="E74" i="45"/>
  <c r="E75" i="45"/>
  <c r="E76" i="45"/>
  <c r="E80" i="45"/>
  <c r="G80" i="45"/>
  <c r="BE19" i="44"/>
  <c r="BT22" i="44"/>
  <c r="BV22" i="44"/>
  <c r="BX22" i="44"/>
  <c r="BZ22" i="44"/>
  <c r="CB22" i="44"/>
  <c r="CD22" i="44"/>
  <c r="BT21" i="44"/>
  <c r="BV21" i="44"/>
  <c r="BX21" i="44"/>
  <c r="BZ21" i="44"/>
  <c r="CB21" i="44"/>
  <c r="CD21" i="44"/>
  <c r="K1" i="44"/>
  <c r="BF2" i="44"/>
  <c r="J3" i="44"/>
  <c r="L7" i="44"/>
  <c r="N7" i="44"/>
  <c r="P7" i="44"/>
  <c r="E11" i="44"/>
  <c r="DD211" i="44" s="1"/>
  <c r="E12" i="44"/>
  <c r="DD212" i="44" s="1"/>
  <c r="E13" i="44"/>
  <c r="DD213" i="44" s="1"/>
  <c r="E14" i="44"/>
  <c r="DD214" i="44" s="1"/>
  <c r="C15" i="44"/>
  <c r="DB215" i="44" s="1"/>
  <c r="E15" i="44"/>
  <c r="DD215" i="44" s="1"/>
  <c r="BR15" i="44"/>
  <c r="E16" i="44"/>
  <c r="DD216" i="44" s="1"/>
  <c r="BR16" i="44"/>
  <c r="E17" i="44"/>
  <c r="DD217" i="44" s="1"/>
  <c r="E18" i="44"/>
  <c r="DD218" i="44" s="1"/>
  <c r="BR18" i="44"/>
  <c r="E19" i="44"/>
  <c r="DD219" i="44" s="1"/>
  <c r="E20" i="44"/>
  <c r="DD220" i="44" s="1"/>
  <c r="BE20" i="44"/>
  <c r="C21" i="44"/>
  <c r="DB221" i="44" s="1"/>
  <c r="E21" i="44"/>
  <c r="DD221" i="44" s="1"/>
  <c r="C22" i="44"/>
  <c r="DB222" i="44" s="1"/>
  <c r="E22" i="44"/>
  <c r="DD222" i="44" s="1"/>
  <c r="BR22" i="44"/>
  <c r="E23" i="44"/>
  <c r="DD223" i="44" s="1"/>
  <c r="BE23" i="44"/>
  <c r="BR23" i="44"/>
  <c r="BT23" i="44"/>
  <c r="BV23" i="44"/>
  <c r="BX23" i="44"/>
  <c r="BZ23" i="44"/>
  <c r="CB23" i="44"/>
  <c r="CD23" i="44"/>
  <c r="E24" i="44"/>
  <c r="DD224" i="44" s="1"/>
  <c r="BE24" i="44"/>
  <c r="BI68" i="44" s="1"/>
  <c r="BT24" i="44"/>
  <c r="BV24" i="44"/>
  <c r="BX24" i="44"/>
  <c r="BZ24" i="44"/>
  <c r="CB24" i="44"/>
  <c r="CD24" i="44"/>
  <c r="C25" i="44"/>
  <c r="DB225" i="44" s="1"/>
  <c r="E25" i="44"/>
  <c r="DD225" i="44" s="1"/>
  <c r="BT25" i="44"/>
  <c r="BV25" i="44"/>
  <c r="BX25" i="44"/>
  <c r="BZ25" i="44"/>
  <c r="CB25" i="44"/>
  <c r="CD25" i="44"/>
  <c r="C26" i="44"/>
  <c r="DB226" i="44" s="1"/>
  <c r="E26" i="44"/>
  <c r="DD226" i="44" s="1"/>
  <c r="BR26" i="44"/>
  <c r="BT26" i="44"/>
  <c r="BV26" i="44"/>
  <c r="BX26" i="44"/>
  <c r="BZ26" i="44"/>
  <c r="CB26" i="44"/>
  <c r="CD26" i="44"/>
  <c r="E27" i="44"/>
  <c r="DD227" i="44" s="1"/>
  <c r="BF27" i="44"/>
  <c r="BR27" i="44"/>
  <c r="BT27" i="44"/>
  <c r="BV27" i="44"/>
  <c r="BX27" i="44"/>
  <c r="BZ27" i="44"/>
  <c r="CB27" i="44"/>
  <c r="CD27" i="44"/>
  <c r="D28" i="44"/>
  <c r="DC228" i="44" s="1"/>
  <c r="E28" i="44"/>
  <c r="DD228" i="44" s="1"/>
  <c r="C29" i="44"/>
  <c r="DB229" i="44" s="1"/>
  <c r="E29" i="44"/>
  <c r="DD229" i="44" s="1"/>
  <c r="BS29" i="44"/>
  <c r="BU29" i="44"/>
  <c r="BV29" i="44"/>
  <c r="BW29" i="44"/>
  <c r="BX29" i="44"/>
  <c r="BY29" i="44"/>
  <c r="BZ29" i="44"/>
  <c r="CA29" i="44"/>
  <c r="CB29" i="44"/>
  <c r="CC29" i="44"/>
  <c r="CD29" i="44"/>
  <c r="C30" i="44"/>
  <c r="DB230" i="44" s="1"/>
  <c r="D30" i="44"/>
  <c r="DC230" i="44" s="1"/>
  <c r="E30" i="44"/>
  <c r="DD230" i="44" s="1"/>
  <c r="G34" i="44"/>
  <c r="I34" i="44"/>
  <c r="M34" i="44"/>
  <c r="O34" i="44"/>
  <c r="Q34" i="44"/>
  <c r="S34" i="44"/>
  <c r="U34" i="44"/>
  <c r="W34" i="44"/>
  <c r="K47" i="44"/>
  <c r="E57" i="44"/>
  <c r="E58" i="44"/>
  <c r="E59" i="44"/>
  <c r="E60" i="44"/>
  <c r="E61" i="44"/>
  <c r="E62" i="44"/>
  <c r="E63" i="44"/>
  <c r="E64" i="44"/>
  <c r="E65" i="44"/>
  <c r="E66" i="44"/>
  <c r="E67" i="44"/>
  <c r="E68" i="44"/>
  <c r="E69" i="44"/>
  <c r="D70" i="44"/>
  <c r="E70" i="44"/>
  <c r="E71" i="44"/>
  <c r="E72" i="44"/>
  <c r="E73" i="44"/>
  <c r="D74" i="44"/>
  <c r="E74" i="44"/>
  <c r="D75" i="44"/>
  <c r="E75" i="44"/>
  <c r="D76" i="44"/>
  <c r="E76" i="44"/>
  <c r="E80" i="44"/>
  <c r="G80" i="44"/>
  <c r="K47" i="43"/>
  <c r="G80" i="43"/>
  <c r="BE20" i="41"/>
  <c r="BT23" i="41"/>
  <c r="BV23" i="41"/>
  <c r="BX23" i="41"/>
  <c r="BZ23" i="41"/>
  <c r="CB23" i="41"/>
  <c r="CD23" i="41"/>
  <c r="BT24" i="41"/>
  <c r="BV24" i="41"/>
  <c r="BX24" i="41"/>
  <c r="BZ24" i="41"/>
  <c r="CB24" i="41"/>
  <c r="CD24" i="41"/>
  <c r="BT25" i="41"/>
  <c r="BV25" i="41"/>
  <c r="BX25" i="41"/>
  <c r="BZ25" i="41"/>
  <c r="CB25" i="41"/>
  <c r="CD25" i="41"/>
  <c r="BE23" i="41"/>
  <c r="BI67" i="41" s="1"/>
  <c r="BT26" i="41"/>
  <c r="BV26" i="41"/>
  <c r="BX26" i="41"/>
  <c r="BZ26" i="41"/>
  <c r="CB26" i="41"/>
  <c r="CD26" i="41"/>
  <c r="BE24" i="41"/>
  <c r="BT27" i="41"/>
  <c r="BV27" i="41"/>
  <c r="BX27" i="41"/>
  <c r="BZ27" i="41"/>
  <c r="CB27" i="41"/>
  <c r="CD27" i="41"/>
  <c r="W34" i="43"/>
  <c r="D76" i="43"/>
  <c r="D74" i="43"/>
  <c r="BT21" i="43"/>
  <c r="BV21" i="43"/>
  <c r="BX21" i="43"/>
  <c r="BZ21" i="43"/>
  <c r="CB21" i="43"/>
  <c r="CD21" i="43"/>
  <c r="BE19" i="43"/>
  <c r="BT22" i="43"/>
  <c r="BV22" i="43"/>
  <c r="BX22" i="43"/>
  <c r="BZ22" i="43"/>
  <c r="CB22" i="43"/>
  <c r="CD22" i="43"/>
  <c r="BE20" i="43"/>
  <c r="BT23" i="43"/>
  <c r="BV23" i="43"/>
  <c r="BX23" i="43"/>
  <c r="BZ23" i="43"/>
  <c r="CB23" i="43"/>
  <c r="CD23" i="43"/>
  <c r="BT24" i="43"/>
  <c r="BV24" i="43"/>
  <c r="BX24" i="43"/>
  <c r="BZ24" i="43"/>
  <c r="CB24" i="43"/>
  <c r="CD24" i="43"/>
  <c r="BT25" i="43"/>
  <c r="BV25" i="43"/>
  <c r="BX25" i="43"/>
  <c r="BZ25" i="43"/>
  <c r="CB25" i="43"/>
  <c r="CD25" i="43"/>
  <c r="BE23" i="43"/>
  <c r="BG67" i="43" s="1"/>
  <c r="BT26" i="43"/>
  <c r="BV26" i="43"/>
  <c r="BX26" i="43"/>
  <c r="BZ26" i="43"/>
  <c r="CB26" i="43"/>
  <c r="CD26" i="43"/>
  <c r="BE24" i="43"/>
  <c r="BI68" i="43" s="1"/>
  <c r="BT27" i="43"/>
  <c r="BV27" i="43"/>
  <c r="BX27" i="43"/>
  <c r="BZ27" i="43"/>
  <c r="CB27" i="43"/>
  <c r="CD27" i="43"/>
  <c r="E76" i="43"/>
  <c r="E59" i="43"/>
  <c r="E60" i="43"/>
  <c r="E61" i="43"/>
  <c r="E62" i="43"/>
  <c r="E63" i="43"/>
  <c r="E64" i="43"/>
  <c r="E65" i="43"/>
  <c r="E66" i="43"/>
  <c r="E67" i="43"/>
  <c r="E68" i="43"/>
  <c r="E69" i="43"/>
  <c r="E70" i="43"/>
  <c r="E71" i="43"/>
  <c r="E72" i="43"/>
  <c r="E73" i="43"/>
  <c r="E74" i="43"/>
  <c r="E75" i="43"/>
  <c r="E58" i="43"/>
  <c r="E57" i="43"/>
  <c r="J3" i="43"/>
  <c r="E80" i="43"/>
  <c r="K1" i="43"/>
  <c r="BF2" i="43"/>
  <c r="D3" i="43"/>
  <c r="L7" i="43"/>
  <c r="N7" i="43"/>
  <c r="P7" i="43"/>
  <c r="E11" i="43"/>
  <c r="DD211" i="43" s="1"/>
  <c r="E12" i="43"/>
  <c r="DD212" i="43" s="1"/>
  <c r="E13" i="43"/>
  <c r="DD213" i="43" s="1"/>
  <c r="E14" i="43"/>
  <c r="DD214" i="43" s="1"/>
  <c r="E15" i="43"/>
  <c r="DD215" i="43" s="1"/>
  <c r="E16" i="43"/>
  <c r="DD216" i="43" s="1"/>
  <c r="E17" i="43"/>
  <c r="DD217" i="43" s="1"/>
  <c r="E18" i="43"/>
  <c r="DD218" i="43" s="1"/>
  <c r="BR18" i="43"/>
  <c r="E19" i="43"/>
  <c r="DD219" i="43" s="1"/>
  <c r="E20" i="43"/>
  <c r="DD220" i="43" s="1"/>
  <c r="C21" i="43"/>
  <c r="DB221" i="43" s="1"/>
  <c r="E21" i="43"/>
  <c r="DD221" i="43" s="1"/>
  <c r="E22" i="43"/>
  <c r="DD222" i="43" s="1"/>
  <c r="BR22" i="43"/>
  <c r="E23" i="43"/>
  <c r="DD223" i="43" s="1"/>
  <c r="BR23" i="43"/>
  <c r="E24" i="43"/>
  <c r="DD224" i="43" s="1"/>
  <c r="C25" i="43"/>
  <c r="DB225" i="43" s="1"/>
  <c r="E25" i="43"/>
  <c r="DD225" i="43" s="1"/>
  <c r="C26" i="43"/>
  <c r="DB226" i="43" s="1"/>
  <c r="E26" i="43"/>
  <c r="DD226" i="43" s="1"/>
  <c r="BE20" i="24"/>
  <c r="BN64" i="24"/>
  <c r="BJ64" i="24" s="1"/>
  <c r="BT23" i="24"/>
  <c r="BV23" i="24"/>
  <c r="BX23" i="24"/>
  <c r="BZ23" i="24"/>
  <c r="CB23" i="24"/>
  <c r="CD23" i="24"/>
  <c r="BN62" i="34"/>
  <c r="BJ62" i="34" s="1"/>
  <c r="BE20" i="34"/>
  <c r="BG62" i="34" s="1"/>
  <c r="BX23" i="34"/>
  <c r="BT23" i="34"/>
  <c r="BV23" i="34"/>
  <c r="BZ23" i="34"/>
  <c r="CB23" i="34"/>
  <c r="CD23" i="34"/>
  <c r="BE20" i="35"/>
  <c r="BT23" i="35"/>
  <c r="BV23" i="35"/>
  <c r="BX23" i="35"/>
  <c r="BZ23" i="35"/>
  <c r="CB23" i="35"/>
  <c r="CD23" i="35"/>
  <c r="BE20" i="36"/>
  <c r="BT23" i="36"/>
  <c r="BV23" i="36"/>
  <c r="BX23" i="36"/>
  <c r="BZ23" i="36"/>
  <c r="CB23" i="36"/>
  <c r="CD23" i="36"/>
  <c r="BE20" i="37"/>
  <c r="BG64" i="37" s="1"/>
  <c r="BT23" i="37"/>
  <c r="BV23" i="37"/>
  <c r="BX23" i="37"/>
  <c r="BZ23" i="37"/>
  <c r="CB23" i="37"/>
  <c r="CD23" i="37"/>
  <c r="BE20" i="38"/>
  <c r="BT23" i="38"/>
  <c r="BV23" i="38"/>
  <c r="BX23" i="38"/>
  <c r="BZ23" i="38"/>
  <c r="CB23" i="38"/>
  <c r="CD23" i="38"/>
  <c r="BE20" i="39"/>
  <c r="BT23" i="39"/>
  <c r="BV23" i="39"/>
  <c r="BX23" i="39"/>
  <c r="BZ23" i="39"/>
  <c r="CB23" i="39"/>
  <c r="CD23" i="39"/>
  <c r="BE20" i="40"/>
  <c r="BT23" i="40"/>
  <c r="BV23" i="40"/>
  <c r="BX23" i="40"/>
  <c r="BZ23" i="40"/>
  <c r="CB23" i="40"/>
  <c r="CD23" i="40"/>
  <c r="BR26" i="43"/>
  <c r="C27" i="43"/>
  <c r="DB227" i="43" s="1"/>
  <c r="E27" i="43"/>
  <c r="DD227" i="43" s="1"/>
  <c r="BN65" i="24"/>
  <c r="BJ65" i="24" s="1"/>
  <c r="BT24" i="24"/>
  <c r="BV24" i="24"/>
  <c r="BX24" i="24"/>
  <c r="BZ24" i="24"/>
  <c r="CB24" i="24"/>
  <c r="CD24" i="24"/>
  <c r="BN63" i="34"/>
  <c r="BJ63" i="34" s="1"/>
  <c r="BX24" i="34"/>
  <c r="BT24" i="34"/>
  <c r="BV24" i="34"/>
  <c r="BZ24" i="34"/>
  <c r="CB24" i="34"/>
  <c r="CD24" i="34"/>
  <c r="BT24" i="35"/>
  <c r="BV24" i="35"/>
  <c r="BX24" i="35"/>
  <c r="BZ24" i="35"/>
  <c r="CB24" i="35"/>
  <c r="CD24" i="35"/>
  <c r="BT24" i="36"/>
  <c r="BV24" i="36"/>
  <c r="BX24" i="36"/>
  <c r="BZ24" i="36"/>
  <c r="CB24" i="36"/>
  <c r="CD24" i="36"/>
  <c r="BE21" i="37"/>
  <c r="BT24" i="37"/>
  <c r="BV24" i="37"/>
  <c r="BX24" i="37"/>
  <c r="BZ24" i="37"/>
  <c r="CB24" i="37"/>
  <c r="CD24" i="37"/>
  <c r="BT24" i="38"/>
  <c r="BV24" i="38"/>
  <c r="BX24" i="38"/>
  <c r="BZ24" i="38"/>
  <c r="CB24" i="38"/>
  <c r="CD24" i="38"/>
  <c r="BT24" i="39"/>
  <c r="BV24" i="39"/>
  <c r="BX24" i="39"/>
  <c r="BZ24" i="39"/>
  <c r="CB24" i="39"/>
  <c r="CD24" i="39"/>
  <c r="BE21" i="40"/>
  <c r="BT24" i="40"/>
  <c r="BV24" i="40"/>
  <c r="BX24" i="40"/>
  <c r="BZ24" i="40"/>
  <c r="CB24" i="40"/>
  <c r="CD24" i="40"/>
  <c r="CE24" i="40"/>
  <c r="BF27" i="43"/>
  <c r="BF30" i="43" s="1"/>
  <c r="BR27" i="43"/>
  <c r="D28" i="43"/>
  <c r="DC228" i="43" s="1"/>
  <c r="E28" i="43"/>
  <c r="DD228" i="43" s="1"/>
  <c r="BN66" i="24"/>
  <c r="BJ66" i="24" s="1"/>
  <c r="BT25" i="24"/>
  <c r="BV25" i="24"/>
  <c r="BX25" i="24"/>
  <c r="BZ25" i="24"/>
  <c r="CB25" i="24"/>
  <c r="CD25" i="24"/>
  <c r="BN64" i="34"/>
  <c r="BJ64" i="34" s="1"/>
  <c r="BX25" i="34"/>
  <c r="BT25" i="34"/>
  <c r="BV25" i="34"/>
  <c r="BZ25" i="34"/>
  <c r="CB25" i="34"/>
  <c r="CD25" i="34"/>
  <c r="BT25" i="35"/>
  <c r="BV25" i="35"/>
  <c r="BX25" i="35"/>
  <c r="BZ25" i="35"/>
  <c r="CB25" i="35"/>
  <c r="CD25" i="35"/>
  <c r="BT25" i="36"/>
  <c r="BV25" i="36"/>
  <c r="BX25" i="36"/>
  <c r="BZ25" i="36"/>
  <c r="CB25" i="36"/>
  <c r="CD25" i="36"/>
  <c r="BT25" i="37"/>
  <c r="BV25" i="37"/>
  <c r="BX25" i="37"/>
  <c r="BZ25" i="37"/>
  <c r="CB25" i="37"/>
  <c r="CD25" i="37"/>
  <c r="BT25" i="38"/>
  <c r="BV25" i="38"/>
  <c r="BX25" i="38"/>
  <c r="BZ25" i="38"/>
  <c r="CB25" i="38"/>
  <c r="CD25" i="38"/>
  <c r="BT25" i="39"/>
  <c r="BV25" i="39"/>
  <c r="BX25" i="39"/>
  <c r="BZ25" i="39"/>
  <c r="CB25" i="39"/>
  <c r="CD25" i="39"/>
  <c r="BT25" i="40"/>
  <c r="BV25" i="40"/>
  <c r="BX25" i="40"/>
  <c r="BZ25" i="40"/>
  <c r="CB25" i="40"/>
  <c r="CD25" i="40"/>
  <c r="C29" i="43"/>
  <c r="DB229" i="43" s="1"/>
  <c r="E29" i="43"/>
  <c r="DD229" i="43" s="1"/>
  <c r="BE23" i="24"/>
  <c r="BI67" i="24" s="1"/>
  <c r="BN67" i="24"/>
  <c r="BJ67" i="24" s="1"/>
  <c r="BT26" i="24"/>
  <c r="BV26" i="24"/>
  <c r="BX26" i="24"/>
  <c r="BZ26" i="24"/>
  <c r="CB26" i="24"/>
  <c r="CD26" i="24"/>
  <c r="BN65" i="34"/>
  <c r="BJ65" i="34" s="1"/>
  <c r="BE23" i="34"/>
  <c r="BI65" i="34" s="1"/>
  <c r="BX26" i="34"/>
  <c r="BT26" i="34"/>
  <c r="BV26" i="34"/>
  <c r="BZ26" i="34"/>
  <c r="CB26" i="34"/>
  <c r="CD26" i="34"/>
  <c r="BE23" i="35"/>
  <c r="BI67" i="35" s="1"/>
  <c r="BT26" i="35"/>
  <c r="BV26" i="35"/>
  <c r="BX26" i="35"/>
  <c r="BZ26" i="35"/>
  <c r="CB26" i="35"/>
  <c r="CD26" i="35"/>
  <c r="BE23" i="36"/>
  <c r="BI67" i="36" s="1"/>
  <c r="BT26" i="36"/>
  <c r="BV26" i="36"/>
  <c r="BX26" i="36"/>
  <c r="BZ26" i="36"/>
  <c r="CB26" i="36"/>
  <c r="CD26" i="36"/>
  <c r="BE23" i="37"/>
  <c r="BI67" i="37" s="1"/>
  <c r="BT26" i="37"/>
  <c r="BV26" i="37"/>
  <c r="BX26" i="37"/>
  <c r="BZ26" i="37"/>
  <c r="CB26" i="37"/>
  <c r="CD26" i="37"/>
  <c r="BE23" i="38"/>
  <c r="BT26" i="38"/>
  <c r="BV26" i="38"/>
  <c r="BX26" i="38"/>
  <c r="BZ26" i="38"/>
  <c r="CB26" i="38"/>
  <c r="CD26" i="38"/>
  <c r="BE23" i="39"/>
  <c r="BT26" i="39"/>
  <c r="BV26" i="39"/>
  <c r="BX26" i="39"/>
  <c r="BZ26" i="39"/>
  <c r="CB26" i="39"/>
  <c r="CD26" i="39"/>
  <c r="BE23" i="40"/>
  <c r="BT26" i="40"/>
  <c r="BV26" i="40"/>
  <c r="BX26" i="40"/>
  <c r="BZ26" i="40"/>
  <c r="CB26" i="40"/>
  <c r="CD26" i="40"/>
  <c r="BS29" i="43"/>
  <c r="BU29" i="43"/>
  <c r="BW29" i="43"/>
  <c r="BX29" i="43" s="1"/>
  <c r="BY29" i="43"/>
  <c r="BZ29" i="43" s="1"/>
  <c r="CA29" i="43"/>
  <c r="CB29" i="43" s="1"/>
  <c r="CC29" i="43"/>
  <c r="CD29" i="43" s="1"/>
  <c r="C30" i="43"/>
  <c r="DB230" i="43" s="1"/>
  <c r="E30" i="43"/>
  <c r="DD230" i="43" s="1"/>
  <c r="BE24" i="24"/>
  <c r="BN68" i="24"/>
  <c r="BJ68" i="24" s="1"/>
  <c r="BT27" i="24"/>
  <c r="BV27" i="24"/>
  <c r="BX27" i="24"/>
  <c r="BZ27" i="24"/>
  <c r="CB27" i="24"/>
  <c r="CD27" i="24"/>
  <c r="BN66" i="34"/>
  <c r="BJ66" i="34" s="1"/>
  <c r="BE24" i="34"/>
  <c r="BI66" i="34" s="1"/>
  <c r="BX27" i="34"/>
  <c r="BT27" i="34"/>
  <c r="BV27" i="34"/>
  <c r="BZ27" i="34"/>
  <c r="CB27" i="34"/>
  <c r="CD27" i="34"/>
  <c r="BE24" i="35"/>
  <c r="BT27" i="35"/>
  <c r="BV27" i="35"/>
  <c r="BX27" i="35"/>
  <c r="BZ27" i="35"/>
  <c r="CB27" i="35"/>
  <c r="CD27" i="35"/>
  <c r="BE24" i="36"/>
  <c r="BI68" i="36" s="1"/>
  <c r="BT27" i="36"/>
  <c r="BV27" i="36"/>
  <c r="BX27" i="36"/>
  <c r="BZ27" i="36"/>
  <c r="CB27" i="36"/>
  <c r="CD27" i="36"/>
  <c r="BE24" i="37"/>
  <c r="BI68" i="37"/>
  <c r="BT27" i="37"/>
  <c r="BV27" i="37"/>
  <c r="BX27" i="37"/>
  <c r="BZ27" i="37"/>
  <c r="CB27" i="37"/>
  <c r="CD27" i="37"/>
  <c r="BE24" i="38"/>
  <c r="BT27" i="38"/>
  <c r="BV27" i="38"/>
  <c r="BX27" i="38"/>
  <c r="BZ27" i="38"/>
  <c r="CB27" i="38"/>
  <c r="CD27" i="38"/>
  <c r="BE24" i="39"/>
  <c r="BT27" i="39"/>
  <c r="BV27" i="39"/>
  <c r="BX27" i="39"/>
  <c r="BZ27" i="39"/>
  <c r="CB27" i="39"/>
  <c r="CD27" i="39"/>
  <c r="BE24" i="40"/>
  <c r="BG68" i="40" s="1"/>
  <c r="BT27" i="40"/>
  <c r="BV27" i="40"/>
  <c r="BX27" i="40"/>
  <c r="BZ27" i="40"/>
  <c r="CB27" i="40"/>
  <c r="CD27" i="40"/>
  <c r="BC31" i="43"/>
  <c r="G34" i="43"/>
  <c r="K34" i="43"/>
  <c r="M34" i="43"/>
  <c r="O34" i="43"/>
  <c r="Q34" i="43"/>
  <c r="S34" i="43"/>
  <c r="U34" i="43"/>
  <c r="BS29" i="41"/>
  <c r="BU29" i="41"/>
  <c r="BV29" i="41" s="1"/>
  <c r="BW29" i="41"/>
  <c r="BX29" i="41" s="1"/>
  <c r="BY29" i="41"/>
  <c r="BZ29" i="41" s="1"/>
  <c r="CA29" i="41"/>
  <c r="CB29" i="41" s="1"/>
  <c r="CC29" i="41"/>
  <c r="CD29" i="41" s="1"/>
  <c r="BS29" i="40"/>
  <c r="BU29" i="40"/>
  <c r="BV29" i="40" s="1"/>
  <c r="BW29" i="40"/>
  <c r="BX29" i="40" s="1"/>
  <c r="BY29" i="40"/>
  <c r="BZ29" i="40" s="1"/>
  <c r="CA29" i="40"/>
  <c r="CB29" i="40" s="1"/>
  <c r="CC29" i="40"/>
  <c r="CD29" i="40" s="1"/>
  <c r="BS29" i="39"/>
  <c r="BU29" i="39"/>
  <c r="BV29" i="39" s="1"/>
  <c r="BW29" i="39"/>
  <c r="BX29" i="39" s="1"/>
  <c r="BY29" i="39"/>
  <c r="BZ29" i="39" s="1"/>
  <c r="CA29" i="39"/>
  <c r="CB29" i="39" s="1"/>
  <c r="BS29" i="38"/>
  <c r="BT29" i="38"/>
  <c r="BU29" i="38"/>
  <c r="BV29" i="38"/>
  <c r="BW29" i="38"/>
  <c r="BX29" i="38"/>
  <c r="BY29" i="38"/>
  <c r="BZ29" i="38"/>
  <c r="CA29" i="38"/>
  <c r="CB29" i="38"/>
  <c r="CC29" i="38"/>
  <c r="CD29" i="38"/>
  <c r="BS29" i="36"/>
  <c r="BT29" i="36"/>
  <c r="BU29" i="36"/>
  <c r="BV29" i="36"/>
  <c r="BW29" i="36"/>
  <c r="BX29" i="36"/>
  <c r="BY29" i="36"/>
  <c r="BZ29" i="36"/>
  <c r="CA29" i="36"/>
  <c r="CB29" i="36"/>
  <c r="CC29" i="36"/>
  <c r="CD29" i="36"/>
  <c r="CA29" i="35"/>
  <c r="CB29" i="35"/>
  <c r="CC29" i="35"/>
  <c r="CD29" i="35"/>
  <c r="BU29" i="34"/>
  <c r="BW29" i="34"/>
  <c r="BX29" i="34" s="1"/>
  <c r="CA29" i="34"/>
  <c r="CB29" i="34" s="1"/>
  <c r="CC29" i="34"/>
  <c r="CD29" i="34" s="1"/>
  <c r="A1" i="38"/>
  <c r="S34" i="41"/>
  <c r="U34" i="41"/>
  <c r="K1" i="41"/>
  <c r="BF2" i="41"/>
  <c r="L7" i="41"/>
  <c r="N7" i="41"/>
  <c r="P7" i="41"/>
  <c r="E11" i="41"/>
  <c r="DD211" i="41" s="1"/>
  <c r="E12" i="41"/>
  <c r="DD212" i="41" s="1"/>
  <c r="BR12" i="41"/>
  <c r="E13" i="41"/>
  <c r="DD213" i="41" s="1"/>
  <c r="E14" i="41"/>
  <c r="DD214" i="41" s="1"/>
  <c r="E15" i="41"/>
  <c r="DD215" i="41" s="1"/>
  <c r="E16" i="41"/>
  <c r="DD216" i="41" s="1"/>
  <c r="BR16" i="41"/>
  <c r="E17" i="41"/>
  <c r="DD217" i="41" s="1"/>
  <c r="E18" i="41"/>
  <c r="DD218" i="41" s="1"/>
  <c r="BR18" i="41"/>
  <c r="E19" i="41"/>
  <c r="DD219" i="41" s="1"/>
  <c r="D19" i="41"/>
  <c r="DC219" i="41" s="1"/>
  <c r="E20" i="41"/>
  <c r="DD220" i="41" s="1"/>
  <c r="E21" i="41"/>
  <c r="DD221" i="41" s="1"/>
  <c r="E22" i="41"/>
  <c r="DD222" i="41" s="1"/>
  <c r="BR22" i="41"/>
  <c r="E23" i="41"/>
  <c r="DD223" i="41" s="1"/>
  <c r="BR23" i="41"/>
  <c r="E24" i="41"/>
  <c r="DD224" i="41" s="1"/>
  <c r="E25" i="41"/>
  <c r="DD225" i="41" s="1"/>
  <c r="E26" i="41"/>
  <c r="DD226" i="41" s="1"/>
  <c r="BR26" i="41"/>
  <c r="E27" i="41"/>
  <c r="DD227" i="41" s="1"/>
  <c r="BF27" i="41"/>
  <c r="BF30" i="41"/>
  <c r="BR27" i="41"/>
  <c r="E28" i="41"/>
  <c r="DD228" i="41" s="1"/>
  <c r="D28" i="41"/>
  <c r="DC228" i="41" s="1"/>
  <c r="E29" i="41"/>
  <c r="DD229" i="41" s="1"/>
  <c r="E30" i="41"/>
  <c r="DD230" i="41" s="1"/>
  <c r="D30" i="41"/>
  <c r="DC230" i="41" s="1"/>
  <c r="E34" i="41"/>
  <c r="G34" i="41"/>
  <c r="I34" i="41"/>
  <c r="K34" i="41"/>
  <c r="M34" i="41"/>
  <c r="O34" i="41"/>
  <c r="Q34" i="41"/>
  <c r="BG64" i="41"/>
  <c r="K1" i="40"/>
  <c r="BF2" i="40"/>
  <c r="G3" i="40"/>
  <c r="E11" i="40"/>
  <c r="DD211" i="40" s="1"/>
  <c r="E12" i="40"/>
  <c r="DD212" i="40" s="1"/>
  <c r="E13" i="40"/>
  <c r="DD213" i="40" s="1"/>
  <c r="E14" i="40"/>
  <c r="DD214" i="40" s="1"/>
  <c r="E15" i="40"/>
  <c r="DD215" i="40" s="1"/>
  <c r="E16" i="40"/>
  <c r="DD216" i="40" s="1"/>
  <c r="E17" i="40"/>
  <c r="DD217" i="40" s="1"/>
  <c r="E18" i="40"/>
  <c r="DD218" i="40" s="1"/>
  <c r="E19" i="40"/>
  <c r="DD219" i="40" s="1"/>
  <c r="E20" i="40"/>
  <c r="DD220" i="40" s="1"/>
  <c r="E21" i="40"/>
  <c r="DD221" i="40" s="1"/>
  <c r="E22" i="40"/>
  <c r="DD222" i="40" s="1"/>
  <c r="E23" i="40"/>
  <c r="DD223" i="40" s="1"/>
  <c r="E24" i="40"/>
  <c r="DD224" i="40" s="1"/>
  <c r="E25" i="40"/>
  <c r="DD225" i="40" s="1"/>
  <c r="E26" i="40"/>
  <c r="DD226" i="40" s="1"/>
  <c r="E27" i="40"/>
  <c r="DD227" i="40" s="1"/>
  <c r="E28" i="40"/>
  <c r="DD228" i="40" s="1"/>
  <c r="E29" i="40"/>
  <c r="DD229" i="40" s="1"/>
  <c r="E30" i="40"/>
  <c r="DD230" i="40" s="1"/>
  <c r="L7" i="40"/>
  <c r="N7" i="40"/>
  <c r="P7" i="40"/>
  <c r="W11" i="40"/>
  <c r="W12" i="40"/>
  <c r="BR12" i="40"/>
  <c r="W13" i="40"/>
  <c r="W14" i="40"/>
  <c r="W15" i="40"/>
  <c r="D16" i="40"/>
  <c r="DC216" i="40" s="1"/>
  <c r="W16" i="40"/>
  <c r="W17" i="40"/>
  <c r="W18" i="40"/>
  <c r="BR18" i="40"/>
  <c r="W19" i="40"/>
  <c r="W20" i="40"/>
  <c r="W21" i="40"/>
  <c r="W22" i="40"/>
  <c r="BR22" i="40"/>
  <c r="W23" i="40"/>
  <c r="BR23" i="40"/>
  <c r="W24" i="40"/>
  <c r="W25" i="40"/>
  <c r="W26" i="40"/>
  <c r="BR26" i="40"/>
  <c r="W27" i="40"/>
  <c r="BF27" i="40"/>
  <c r="BF30" i="40" s="1"/>
  <c r="BR27" i="40"/>
  <c r="D28" i="40"/>
  <c r="DC228" i="40" s="1"/>
  <c r="W28" i="40"/>
  <c r="W29" i="40"/>
  <c r="D30" i="40"/>
  <c r="DC230" i="40" s="1"/>
  <c r="W30" i="40"/>
  <c r="W31" i="40"/>
  <c r="G34" i="40"/>
  <c r="I34" i="40"/>
  <c r="K34" i="40"/>
  <c r="M34" i="40"/>
  <c r="O34" i="40"/>
  <c r="Q34" i="40"/>
  <c r="Q34" i="39"/>
  <c r="E11" i="39"/>
  <c r="DD211" i="39" s="1"/>
  <c r="E12" i="39"/>
  <c r="DD212" i="39" s="1"/>
  <c r="E13" i="39"/>
  <c r="DD213" i="39" s="1"/>
  <c r="E14" i="39"/>
  <c r="DD214" i="39" s="1"/>
  <c r="E15" i="39"/>
  <c r="DD215" i="39" s="1"/>
  <c r="E16" i="39"/>
  <c r="DD216" i="39" s="1"/>
  <c r="E17" i="39"/>
  <c r="DD217" i="39" s="1"/>
  <c r="E18" i="39"/>
  <c r="DD218" i="39" s="1"/>
  <c r="E19" i="39"/>
  <c r="DD219" i="39" s="1"/>
  <c r="E20" i="39"/>
  <c r="DD220" i="39" s="1"/>
  <c r="E21" i="39"/>
  <c r="DD221" i="39" s="1"/>
  <c r="E22" i="39"/>
  <c r="DD222" i="39" s="1"/>
  <c r="E23" i="39"/>
  <c r="DD223" i="39" s="1"/>
  <c r="P7" i="39"/>
  <c r="N7" i="39"/>
  <c r="L7" i="39"/>
  <c r="N7" i="38"/>
  <c r="L7" i="38"/>
  <c r="L7" i="37"/>
  <c r="K1" i="39"/>
  <c r="BF2" i="39"/>
  <c r="D3" i="39"/>
  <c r="E24" i="39"/>
  <c r="DD224" i="39" s="1"/>
  <c r="E25" i="39"/>
  <c r="DD225" i="39" s="1"/>
  <c r="E26" i="39"/>
  <c r="DD226" i="39" s="1"/>
  <c r="E27" i="39"/>
  <c r="DD227" i="39" s="1"/>
  <c r="E28" i="39"/>
  <c r="DD228" i="39" s="1"/>
  <c r="E29" i="39"/>
  <c r="DD229" i="39" s="1"/>
  <c r="E30" i="39"/>
  <c r="DD230" i="39" s="1"/>
  <c r="U11" i="39"/>
  <c r="W11" i="39"/>
  <c r="U12" i="39"/>
  <c r="W12" i="39"/>
  <c r="BR12" i="39"/>
  <c r="U13" i="39"/>
  <c r="W13" i="39"/>
  <c r="U14" i="39"/>
  <c r="W14" i="39"/>
  <c r="U15" i="39"/>
  <c r="W15" i="39"/>
  <c r="BR15" i="39"/>
  <c r="U16" i="39"/>
  <c r="W16" i="39"/>
  <c r="U17" i="39"/>
  <c r="W17" i="39"/>
  <c r="U18" i="39"/>
  <c r="W18" i="39"/>
  <c r="BR18" i="39"/>
  <c r="U19" i="39"/>
  <c r="W19" i="39"/>
  <c r="U20" i="39"/>
  <c r="W20" i="39"/>
  <c r="U21" i="39"/>
  <c r="W21" i="39"/>
  <c r="U22" i="39"/>
  <c r="W22" i="39"/>
  <c r="BR22" i="39"/>
  <c r="U23" i="39"/>
  <c r="W23" i="39"/>
  <c r="BR23" i="39"/>
  <c r="U24" i="39"/>
  <c r="W24" i="39"/>
  <c r="U25" i="39"/>
  <c r="W25" i="39"/>
  <c r="U26" i="39"/>
  <c r="W26" i="39"/>
  <c r="BR26" i="39"/>
  <c r="U27" i="39"/>
  <c r="W27" i="39"/>
  <c r="BF27" i="39"/>
  <c r="BR27" i="39"/>
  <c r="D28" i="39"/>
  <c r="DC228" i="39" s="1"/>
  <c r="U28" i="39"/>
  <c r="W28" i="39"/>
  <c r="U29" i="39"/>
  <c r="W29" i="39"/>
  <c r="U30" i="39"/>
  <c r="W30" i="39"/>
  <c r="U31" i="39"/>
  <c r="W31" i="39"/>
  <c r="G34" i="39"/>
  <c r="I34" i="39"/>
  <c r="K34" i="39"/>
  <c r="M34" i="39"/>
  <c r="O34" i="39"/>
  <c r="O34" i="38"/>
  <c r="BF2" i="38"/>
  <c r="BF2" i="37"/>
  <c r="BF2" i="36"/>
  <c r="BF2" i="35"/>
  <c r="BF2" i="34"/>
  <c r="K1" i="38"/>
  <c r="E11" i="38"/>
  <c r="DD211" i="38" s="1"/>
  <c r="E12" i="38"/>
  <c r="DD212" i="38" s="1"/>
  <c r="E13" i="38"/>
  <c r="DD213" i="38" s="1"/>
  <c r="E14" i="38"/>
  <c r="DD214" i="38" s="1"/>
  <c r="E15" i="38"/>
  <c r="DD215" i="38" s="1"/>
  <c r="E16" i="38"/>
  <c r="DD216" i="38" s="1"/>
  <c r="E17" i="38"/>
  <c r="DD217" i="38" s="1"/>
  <c r="E18" i="38"/>
  <c r="DD218" i="38" s="1"/>
  <c r="E19" i="38"/>
  <c r="DD219" i="38" s="1"/>
  <c r="E20" i="38"/>
  <c r="DD220" i="38" s="1"/>
  <c r="E21" i="38"/>
  <c r="DD221" i="38" s="1"/>
  <c r="E22" i="38"/>
  <c r="DD222" i="38" s="1"/>
  <c r="E23" i="38"/>
  <c r="DD223" i="38" s="1"/>
  <c r="E24" i="38"/>
  <c r="DD224" i="38" s="1"/>
  <c r="E25" i="38"/>
  <c r="DD225" i="38" s="1"/>
  <c r="E26" i="38"/>
  <c r="DD226" i="38" s="1"/>
  <c r="E27" i="38"/>
  <c r="DD227" i="38" s="1"/>
  <c r="E28" i="38"/>
  <c r="DD228" i="38" s="1"/>
  <c r="E29" i="38"/>
  <c r="DD229" i="38" s="1"/>
  <c r="E30" i="38"/>
  <c r="DD230" i="38" s="1"/>
  <c r="S11" i="38"/>
  <c r="U11" i="38"/>
  <c r="W11" i="38"/>
  <c r="S12" i="38"/>
  <c r="U12" i="38"/>
  <c r="W12" i="38"/>
  <c r="BR12" i="38"/>
  <c r="S13" i="38"/>
  <c r="U13" i="38"/>
  <c r="W13" i="38"/>
  <c r="S14" i="38"/>
  <c r="U14" i="38"/>
  <c r="W14" i="38"/>
  <c r="S15" i="38"/>
  <c r="U15" i="38"/>
  <c r="W15" i="38"/>
  <c r="S16" i="38"/>
  <c r="U16" i="38"/>
  <c r="W16" i="38"/>
  <c r="BR16" i="38"/>
  <c r="S17" i="38"/>
  <c r="U17" i="38"/>
  <c r="W17" i="38"/>
  <c r="S18" i="38"/>
  <c r="U18" i="38"/>
  <c r="W18" i="38"/>
  <c r="BR18" i="38"/>
  <c r="S19" i="38"/>
  <c r="U19" i="38"/>
  <c r="W19" i="38"/>
  <c r="S20" i="38"/>
  <c r="U20" i="38"/>
  <c r="W20" i="38"/>
  <c r="S21" i="38"/>
  <c r="U21" i="38"/>
  <c r="W21" i="38"/>
  <c r="S22" i="38"/>
  <c r="U22" i="38"/>
  <c r="W22" i="38"/>
  <c r="BR22" i="38"/>
  <c r="S23" i="38"/>
  <c r="U23" i="38"/>
  <c r="W23" i="38"/>
  <c r="BR23" i="38"/>
  <c r="S24" i="38"/>
  <c r="U24" i="38"/>
  <c r="W24" i="38"/>
  <c r="S25" i="38"/>
  <c r="U25" i="38"/>
  <c r="W25" i="38"/>
  <c r="S26" i="38"/>
  <c r="U26" i="38"/>
  <c r="W26" i="38"/>
  <c r="BR26" i="38"/>
  <c r="S27" i="38"/>
  <c r="U27" i="38"/>
  <c r="W27" i="38"/>
  <c r="BF27" i="38"/>
  <c r="BR27" i="38"/>
  <c r="D28" i="38"/>
  <c r="DC228" i="38" s="1"/>
  <c r="S28" i="38"/>
  <c r="U28" i="38"/>
  <c r="W28" i="38"/>
  <c r="S29" i="38"/>
  <c r="U29" i="38"/>
  <c r="W29" i="38"/>
  <c r="S30" i="38"/>
  <c r="U30" i="38"/>
  <c r="W30" i="38"/>
  <c r="S31" i="38"/>
  <c r="U31" i="38"/>
  <c r="W31" i="38"/>
  <c r="G34" i="38"/>
  <c r="I34" i="38"/>
  <c r="K34" i="38"/>
  <c r="M34" i="38"/>
  <c r="J3" i="37"/>
  <c r="M34" i="37"/>
  <c r="K1" i="37"/>
  <c r="E11" i="37"/>
  <c r="DD211" i="37" s="1"/>
  <c r="E12" i="37"/>
  <c r="DD212" i="37" s="1"/>
  <c r="E13" i="37"/>
  <c r="DD213" i="37" s="1"/>
  <c r="E14" i="37"/>
  <c r="DD214" i="37" s="1"/>
  <c r="E15" i="37"/>
  <c r="DD215" i="37" s="1"/>
  <c r="E16" i="37"/>
  <c r="DD216" i="37" s="1"/>
  <c r="E17" i="37"/>
  <c r="DD217" i="37" s="1"/>
  <c r="E18" i="37"/>
  <c r="DD218" i="37" s="1"/>
  <c r="E19" i="37"/>
  <c r="DD219" i="37" s="1"/>
  <c r="E20" i="37"/>
  <c r="DD220" i="37" s="1"/>
  <c r="E21" i="37"/>
  <c r="DD221" i="37" s="1"/>
  <c r="E22" i="37"/>
  <c r="DD222" i="37" s="1"/>
  <c r="E23" i="37"/>
  <c r="DD223" i="37" s="1"/>
  <c r="E24" i="37"/>
  <c r="DD224" i="37" s="1"/>
  <c r="E25" i="37"/>
  <c r="DD225" i="37" s="1"/>
  <c r="E26" i="37"/>
  <c r="DD226" i="37" s="1"/>
  <c r="E27" i="37"/>
  <c r="DD227" i="37" s="1"/>
  <c r="E28" i="37"/>
  <c r="DD228" i="37" s="1"/>
  <c r="E29" i="37"/>
  <c r="DD229" i="37" s="1"/>
  <c r="E30" i="37"/>
  <c r="DD230" i="37" s="1"/>
  <c r="Q11" i="37"/>
  <c r="S11" i="37"/>
  <c r="U11" i="37"/>
  <c r="W11" i="37"/>
  <c r="Q12" i="37"/>
  <c r="S12" i="37"/>
  <c r="U12" i="37"/>
  <c r="W12" i="37"/>
  <c r="BR12" i="37"/>
  <c r="D13" i="37"/>
  <c r="DC213" i="37" s="1"/>
  <c r="Q13" i="37"/>
  <c r="S13" i="37"/>
  <c r="U13" i="37"/>
  <c r="W13" i="37"/>
  <c r="Q14" i="37"/>
  <c r="S14" i="37"/>
  <c r="U14" i="37"/>
  <c r="W14" i="37"/>
  <c r="Q15" i="37"/>
  <c r="S15" i="37"/>
  <c r="U15" i="37"/>
  <c r="W15" i="37"/>
  <c r="BR15" i="37"/>
  <c r="Q16" i="37"/>
  <c r="S16" i="37"/>
  <c r="U16" i="37"/>
  <c r="W16" i="37"/>
  <c r="Q17" i="37"/>
  <c r="S17" i="37"/>
  <c r="U17" i="37"/>
  <c r="W17" i="37"/>
  <c r="Q18" i="37"/>
  <c r="S18" i="37"/>
  <c r="U18" i="37"/>
  <c r="W18" i="37"/>
  <c r="BR18" i="37"/>
  <c r="Q19" i="37"/>
  <c r="S19" i="37"/>
  <c r="U19" i="37"/>
  <c r="W19" i="37"/>
  <c r="Q20" i="37"/>
  <c r="S20" i="37"/>
  <c r="U20" i="37"/>
  <c r="W20" i="37"/>
  <c r="Q21" i="37"/>
  <c r="S21" i="37"/>
  <c r="U21" i="37"/>
  <c r="W21" i="37"/>
  <c r="D22" i="37"/>
  <c r="DC222" i="37" s="1"/>
  <c r="Q22" i="37"/>
  <c r="S22" i="37"/>
  <c r="U22" i="37"/>
  <c r="W22" i="37"/>
  <c r="BR22" i="37"/>
  <c r="Q23" i="37"/>
  <c r="S23" i="37"/>
  <c r="U23" i="37"/>
  <c r="W23" i="37"/>
  <c r="BR23" i="37"/>
  <c r="Q24" i="37"/>
  <c r="S24" i="37"/>
  <c r="U24" i="37"/>
  <c r="W24" i="37"/>
  <c r="Q25" i="37"/>
  <c r="S25" i="37"/>
  <c r="U25" i="37"/>
  <c r="W25" i="37"/>
  <c r="Q26" i="37"/>
  <c r="S26" i="37"/>
  <c r="U26" i="37"/>
  <c r="W26" i="37"/>
  <c r="BR26" i="37"/>
  <c r="Q27" i="37"/>
  <c r="S27" i="37"/>
  <c r="U27" i="37"/>
  <c r="W27" i="37"/>
  <c r="BR27" i="37"/>
  <c r="D28" i="37"/>
  <c r="DC228" i="37" s="1"/>
  <c r="Q28" i="37"/>
  <c r="S28" i="37"/>
  <c r="U28" i="37"/>
  <c r="W28" i="37"/>
  <c r="Q29" i="37"/>
  <c r="S29" i="37"/>
  <c r="U29" i="37"/>
  <c r="W29" i="37"/>
  <c r="Q30" i="37"/>
  <c r="S30" i="37"/>
  <c r="U30" i="37"/>
  <c r="W30" i="37"/>
  <c r="Q31" i="37"/>
  <c r="S31" i="37"/>
  <c r="U31" i="37"/>
  <c r="W31" i="37"/>
  <c r="G34" i="37"/>
  <c r="I34" i="37"/>
  <c r="K34" i="37"/>
  <c r="BG59" i="37"/>
  <c r="BG67" i="37"/>
  <c r="BG68" i="37"/>
  <c r="K34" i="36"/>
  <c r="I34" i="36"/>
  <c r="G34" i="36"/>
  <c r="G34" i="35"/>
  <c r="I34" i="35"/>
  <c r="G34" i="34"/>
  <c r="K1" i="36"/>
  <c r="E11" i="36"/>
  <c r="DD211" i="36" s="1"/>
  <c r="E12" i="36"/>
  <c r="DD212" i="36" s="1"/>
  <c r="E13" i="36"/>
  <c r="DD213" i="36" s="1"/>
  <c r="E14" i="36"/>
  <c r="DD214" i="36" s="1"/>
  <c r="E15" i="36"/>
  <c r="DD215" i="36" s="1"/>
  <c r="E16" i="36"/>
  <c r="DD216" i="36" s="1"/>
  <c r="E17" i="36"/>
  <c r="DD217" i="36" s="1"/>
  <c r="E18" i="36"/>
  <c r="DD218" i="36" s="1"/>
  <c r="E19" i="36"/>
  <c r="DD219" i="36" s="1"/>
  <c r="E20" i="36"/>
  <c r="DD220" i="36" s="1"/>
  <c r="E21" i="36"/>
  <c r="DD221" i="36" s="1"/>
  <c r="E22" i="36"/>
  <c r="DD222" i="36" s="1"/>
  <c r="E23" i="36"/>
  <c r="DD223" i="36" s="1"/>
  <c r="E24" i="36"/>
  <c r="DD224" i="36" s="1"/>
  <c r="E25" i="36"/>
  <c r="DD225" i="36" s="1"/>
  <c r="E26" i="36"/>
  <c r="DD226" i="36" s="1"/>
  <c r="E27" i="36"/>
  <c r="DD227" i="36" s="1"/>
  <c r="E28" i="36"/>
  <c r="DD228" i="36" s="1"/>
  <c r="E29" i="36"/>
  <c r="DD229" i="36" s="1"/>
  <c r="E30" i="36"/>
  <c r="DD230" i="36" s="1"/>
  <c r="O11" i="36"/>
  <c r="Q11" i="36"/>
  <c r="S11" i="36"/>
  <c r="U11" i="36"/>
  <c r="W11" i="36"/>
  <c r="O12" i="36"/>
  <c r="Q12" i="36"/>
  <c r="S12" i="36"/>
  <c r="U12" i="36"/>
  <c r="W12" i="36"/>
  <c r="BR12" i="36"/>
  <c r="O13" i="36"/>
  <c r="Q13" i="36"/>
  <c r="S13" i="36"/>
  <c r="U13" i="36"/>
  <c r="W13" i="36"/>
  <c r="O14" i="36"/>
  <c r="Q14" i="36"/>
  <c r="S14" i="36"/>
  <c r="U14" i="36"/>
  <c r="W14" i="36"/>
  <c r="O15" i="36"/>
  <c r="Q15" i="36"/>
  <c r="S15" i="36"/>
  <c r="U15" i="36"/>
  <c r="W15" i="36"/>
  <c r="BR15" i="36"/>
  <c r="O16" i="36"/>
  <c r="Q16" i="36"/>
  <c r="S16" i="36"/>
  <c r="U16" i="36"/>
  <c r="W16" i="36"/>
  <c r="O17" i="36"/>
  <c r="Q17" i="36"/>
  <c r="S17" i="36"/>
  <c r="U17" i="36"/>
  <c r="W17" i="36"/>
  <c r="O18" i="36"/>
  <c r="Q18" i="36"/>
  <c r="S18" i="36"/>
  <c r="U18" i="36"/>
  <c r="W18" i="36"/>
  <c r="BR18" i="36"/>
  <c r="O19" i="36"/>
  <c r="Q19" i="36"/>
  <c r="S19" i="36"/>
  <c r="U19" i="36"/>
  <c r="W19" i="36"/>
  <c r="O20" i="36"/>
  <c r="Q20" i="36"/>
  <c r="S20" i="36"/>
  <c r="U20" i="36"/>
  <c r="W20" i="36"/>
  <c r="O21" i="36"/>
  <c r="Q21" i="36"/>
  <c r="S21" i="36"/>
  <c r="U21" i="36"/>
  <c r="W21" i="36"/>
  <c r="D22" i="36"/>
  <c r="DC222" i="36" s="1"/>
  <c r="O22" i="36"/>
  <c r="Q22" i="36"/>
  <c r="S22" i="36"/>
  <c r="U22" i="36"/>
  <c r="W22" i="36"/>
  <c r="BR22" i="36"/>
  <c r="O23" i="36"/>
  <c r="Q23" i="36"/>
  <c r="S23" i="36"/>
  <c r="U23" i="36"/>
  <c r="W23" i="36"/>
  <c r="BR23" i="36"/>
  <c r="O24" i="36"/>
  <c r="Q24" i="36"/>
  <c r="S24" i="36"/>
  <c r="U24" i="36"/>
  <c r="W24" i="36"/>
  <c r="BR24" i="36"/>
  <c r="O25" i="36"/>
  <c r="Q25" i="36"/>
  <c r="S25" i="36"/>
  <c r="U25" i="36"/>
  <c r="W25" i="36"/>
  <c r="O26" i="36"/>
  <c r="Q26" i="36"/>
  <c r="S26" i="36"/>
  <c r="U26" i="36"/>
  <c r="W26" i="36"/>
  <c r="BR26" i="36"/>
  <c r="O27" i="36"/>
  <c r="Q27" i="36"/>
  <c r="S27" i="36"/>
  <c r="U27" i="36"/>
  <c r="W27" i="36"/>
  <c r="BR27" i="36"/>
  <c r="D28" i="36"/>
  <c r="DC228" i="36" s="1"/>
  <c r="O28" i="36"/>
  <c r="Q28" i="36"/>
  <c r="S28" i="36"/>
  <c r="U28" i="36"/>
  <c r="W28" i="36"/>
  <c r="O29" i="36"/>
  <c r="Q29" i="36"/>
  <c r="S29" i="36"/>
  <c r="U29" i="36"/>
  <c r="W29" i="36"/>
  <c r="D30" i="36"/>
  <c r="DC230" i="36" s="1"/>
  <c r="O30" i="36"/>
  <c r="Q30" i="36"/>
  <c r="S30" i="36"/>
  <c r="U30" i="36"/>
  <c r="W30" i="36"/>
  <c r="O31" i="36"/>
  <c r="Q31" i="36"/>
  <c r="S31" i="36"/>
  <c r="U31" i="36"/>
  <c r="W31" i="36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K1" i="35"/>
  <c r="G3" i="35"/>
  <c r="E11" i="35"/>
  <c r="DD211" i="35" s="1"/>
  <c r="E12" i="35"/>
  <c r="DD212" i="35" s="1"/>
  <c r="E13" i="35"/>
  <c r="DD213" i="35" s="1"/>
  <c r="E14" i="35"/>
  <c r="DD214" i="35" s="1"/>
  <c r="E15" i="35"/>
  <c r="DD215" i="35" s="1"/>
  <c r="E16" i="35"/>
  <c r="DD216" i="35" s="1"/>
  <c r="E17" i="35"/>
  <c r="DD217" i="35" s="1"/>
  <c r="E18" i="35"/>
  <c r="DD218" i="35" s="1"/>
  <c r="E19" i="35"/>
  <c r="DD219" i="35" s="1"/>
  <c r="E20" i="35"/>
  <c r="DD220" i="35" s="1"/>
  <c r="E21" i="35"/>
  <c r="DD221" i="35" s="1"/>
  <c r="E22" i="35"/>
  <c r="DD222" i="35" s="1"/>
  <c r="E23" i="35"/>
  <c r="DD223" i="35" s="1"/>
  <c r="E24" i="35"/>
  <c r="DD224" i="35" s="1"/>
  <c r="E25" i="35"/>
  <c r="DD225" i="35" s="1"/>
  <c r="E26" i="35"/>
  <c r="DD226" i="35" s="1"/>
  <c r="E27" i="35"/>
  <c r="DD227" i="35" s="1"/>
  <c r="E28" i="35"/>
  <c r="DD228" i="35" s="1"/>
  <c r="E29" i="35"/>
  <c r="DD229" i="35" s="1"/>
  <c r="E30" i="35"/>
  <c r="DD230" i="35" s="1"/>
  <c r="M11" i="35"/>
  <c r="O11" i="35"/>
  <c r="Q11" i="35"/>
  <c r="S11" i="35"/>
  <c r="U11" i="35"/>
  <c r="W11" i="35"/>
  <c r="M12" i="35"/>
  <c r="O12" i="35"/>
  <c r="Q12" i="35"/>
  <c r="S12" i="35"/>
  <c r="U12" i="35"/>
  <c r="W12" i="35"/>
  <c r="BR12" i="35"/>
  <c r="M13" i="35"/>
  <c r="O13" i="35"/>
  <c r="Q13" i="35"/>
  <c r="S13" i="35"/>
  <c r="U13" i="35"/>
  <c r="W13" i="35"/>
  <c r="M14" i="35"/>
  <c r="O14" i="35"/>
  <c r="Q14" i="35"/>
  <c r="S14" i="35"/>
  <c r="U14" i="35"/>
  <c r="W14" i="35"/>
  <c r="BR14" i="35"/>
  <c r="M15" i="35"/>
  <c r="O15" i="35"/>
  <c r="Q15" i="35"/>
  <c r="S15" i="35"/>
  <c r="U15" i="35"/>
  <c r="W15" i="35"/>
  <c r="M16" i="35"/>
  <c r="O16" i="35"/>
  <c r="Q16" i="35"/>
  <c r="S16" i="35"/>
  <c r="U16" i="35"/>
  <c r="W16" i="35"/>
  <c r="M17" i="35"/>
  <c r="O17" i="35"/>
  <c r="Q17" i="35"/>
  <c r="S17" i="35"/>
  <c r="U17" i="35"/>
  <c r="W17" i="35"/>
  <c r="M18" i="35"/>
  <c r="O18" i="35"/>
  <c r="Q18" i="35"/>
  <c r="S18" i="35"/>
  <c r="U18" i="35"/>
  <c r="W18" i="35"/>
  <c r="BR18" i="35"/>
  <c r="M19" i="35"/>
  <c r="O19" i="35"/>
  <c r="Q19" i="35"/>
  <c r="S19" i="35"/>
  <c r="U19" i="35"/>
  <c r="W19" i="35"/>
  <c r="M20" i="35"/>
  <c r="O20" i="35"/>
  <c r="Q20" i="35"/>
  <c r="S20" i="35"/>
  <c r="U20" i="35"/>
  <c r="W20" i="35"/>
  <c r="M21" i="35"/>
  <c r="O21" i="35"/>
  <c r="Q21" i="35"/>
  <c r="S21" i="35"/>
  <c r="U21" i="35"/>
  <c r="W21" i="35"/>
  <c r="D22" i="35"/>
  <c r="DC222" i="35" s="1"/>
  <c r="M22" i="35"/>
  <c r="O22" i="35"/>
  <c r="Q22" i="35"/>
  <c r="S22" i="35"/>
  <c r="U22" i="35"/>
  <c r="W22" i="35"/>
  <c r="BR22" i="35"/>
  <c r="M23" i="35"/>
  <c r="O23" i="35"/>
  <c r="Q23" i="35"/>
  <c r="S23" i="35"/>
  <c r="U23" i="35"/>
  <c r="W23" i="35"/>
  <c r="BR23" i="35"/>
  <c r="M24" i="35"/>
  <c r="O24" i="35"/>
  <c r="Q24" i="35"/>
  <c r="S24" i="35"/>
  <c r="U24" i="35"/>
  <c r="W24" i="35"/>
  <c r="BR24" i="35"/>
  <c r="M25" i="35"/>
  <c r="O25" i="35"/>
  <c r="Q25" i="35"/>
  <c r="S25" i="35"/>
  <c r="U25" i="35"/>
  <c r="W25" i="35"/>
  <c r="M26" i="35"/>
  <c r="O26" i="35"/>
  <c r="Q26" i="35"/>
  <c r="S26" i="35"/>
  <c r="U26" i="35"/>
  <c r="W26" i="35"/>
  <c r="BR26" i="35"/>
  <c r="M27" i="35"/>
  <c r="O27" i="35"/>
  <c r="Q27" i="35"/>
  <c r="S27" i="35"/>
  <c r="U27" i="35"/>
  <c r="W27" i="35"/>
  <c r="BR27" i="35"/>
  <c r="D28" i="35"/>
  <c r="DC228" i="35" s="1"/>
  <c r="M28" i="35"/>
  <c r="O28" i="35"/>
  <c r="Q28" i="35"/>
  <c r="S28" i="35"/>
  <c r="U28" i="35"/>
  <c r="W28" i="35"/>
  <c r="M29" i="35"/>
  <c r="O29" i="35"/>
  <c r="Q29" i="35"/>
  <c r="S29" i="35"/>
  <c r="U29" i="35"/>
  <c r="W29" i="35"/>
  <c r="D30" i="35"/>
  <c r="DC230" i="35" s="1"/>
  <c r="M30" i="35"/>
  <c r="O30" i="35"/>
  <c r="Q30" i="35"/>
  <c r="S30" i="35"/>
  <c r="U30" i="35"/>
  <c r="W30" i="35"/>
  <c r="M31" i="35"/>
  <c r="O31" i="35"/>
  <c r="Q31" i="35"/>
  <c r="S31" i="35"/>
  <c r="U31" i="35"/>
  <c r="W31" i="35"/>
  <c r="BG67" i="35"/>
  <c r="BF2" i="24"/>
  <c r="E11" i="34"/>
  <c r="DD211" i="34" s="1"/>
  <c r="E12" i="34"/>
  <c r="DD212" i="34" s="1"/>
  <c r="E13" i="34"/>
  <c r="DD213" i="34" s="1"/>
  <c r="E14" i="34"/>
  <c r="DD214" i="34" s="1"/>
  <c r="E15" i="34"/>
  <c r="DD215" i="34" s="1"/>
  <c r="E16" i="34"/>
  <c r="DD216" i="34" s="1"/>
  <c r="E17" i="34"/>
  <c r="DD217" i="34" s="1"/>
  <c r="E18" i="34"/>
  <c r="DD218" i="34" s="1"/>
  <c r="E19" i="34"/>
  <c r="DD219" i="34" s="1"/>
  <c r="E20" i="34"/>
  <c r="DD220" i="34" s="1"/>
  <c r="E21" i="34"/>
  <c r="DD221" i="34" s="1"/>
  <c r="E22" i="34"/>
  <c r="DD222" i="34" s="1"/>
  <c r="E23" i="34"/>
  <c r="DD223" i="34" s="1"/>
  <c r="K1" i="34"/>
  <c r="E24" i="34"/>
  <c r="DD224" i="34" s="1"/>
  <c r="E25" i="34"/>
  <c r="DD225" i="34" s="1"/>
  <c r="E26" i="34"/>
  <c r="DD226" i="34" s="1"/>
  <c r="E27" i="34"/>
  <c r="DD227" i="34" s="1"/>
  <c r="E28" i="34"/>
  <c r="DD228" i="34" s="1"/>
  <c r="E29" i="34"/>
  <c r="DD229" i="34" s="1"/>
  <c r="E30" i="34"/>
  <c r="DD230" i="34" s="1"/>
  <c r="K11" i="34"/>
  <c r="M11" i="34"/>
  <c r="O11" i="34"/>
  <c r="Q11" i="34"/>
  <c r="S11" i="34"/>
  <c r="U11" i="34"/>
  <c r="W11" i="34"/>
  <c r="K12" i="34"/>
  <c r="M12" i="34"/>
  <c r="O12" i="34"/>
  <c r="Q12" i="34"/>
  <c r="S12" i="34"/>
  <c r="U12" i="34"/>
  <c r="W12" i="34"/>
  <c r="BR12" i="34"/>
  <c r="K13" i="34"/>
  <c r="M13" i="34"/>
  <c r="O13" i="34"/>
  <c r="Q13" i="34"/>
  <c r="S13" i="34"/>
  <c r="U13" i="34"/>
  <c r="W13" i="34"/>
  <c r="K14" i="34"/>
  <c r="M14" i="34"/>
  <c r="O14" i="34"/>
  <c r="Q14" i="34"/>
  <c r="S14" i="34"/>
  <c r="U14" i="34"/>
  <c r="W14" i="34"/>
  <c r="K15" i="34"/>
  <c r="M15" i="34"/>
  <c r="O15" i="34"/>
  <c r="Q15" i="34"/>
  <c r="S15" i="34"/>
  <c r="U15" i="34"/>
  <c r="W15" i="34"/>
  <c r="BR15" i="34"/>
  <c r="K16" i="34"/>
  <c r="M16" i="34"/>
  <c r="O16" i="34"/>
  <c r="Q16" i="34"/>
  <c r="S16" i="34"/>
  <c r="U16" i="34"/>
  <c r="W16" i="34"/>
  <c r="BR16" i="34"/>
  <c r="K17" i="34"/>
  <c r="M17" i="34"/>
  <c r="O17" i="34"/>
  <c r="Q17" i="34"/>
  <c r="S17" i="34"/>
  <c r="U17" i="34"/>
  <c r="W17" i="34"/>
  <c r="K18" i="34"/>
  <c r="M18" i="34"/>
  <c r="O18" i="34"/>
  <c r="Q18" i="34"/>
  <c r="S18" i="34"/>
  <c r="U18" i="34"/>
  <c r="W18" i="34"/>
  <c r="BR18" i="34"/>
  <c r="K19" i="34"/>
  <c r="M19" i="34"/>
  <c r="O19" i="34"/>
  <c r="Q19" i="34"/>
  <c r="S19" i="34"/>
  <c r="U19" i="34"/>
  <c r="W19" i="34"/>
  <c r="BR19" i="34"/>
  <c r="K20" i="34"/>
  <c r="M20" i="34"/>
  <c r="O20" i="34"/>
  <c r="Q20" i="34"/>
  <c r="S20" i="34"/>
  <c r="U20" i="34"/>
  <c r="W20" i="34"/>
  <c r="K21" i="34"/>
  <c r="M21" i="34"/>
  <c r="O21" i="34"/>
  <c r="Q21" i="34"/>
  <c r="S21" i="34"/>
  <c r="U21" i="34"/>
  <c r="W21" i="34"/>
  <c r="D22" i="34"/>
  <c r="DC222" i="34" s="1"/>
  <c r="K22" i="34"/>
  <c r="M22" i="34"/>
  <c r="O22" i="34"/>
  <c r="Q22" i="34"/>
  <c r="S22" i="34"/>
  <c r="U22" i="34"/>
  <c r="W22" i="34"/>
  <c r="BR22" i="34"/>
  <c r="K23" i="34"/>
  <c r="M23" i="34"/>
  <c r="O23" i="34"/>
  <c r="Q23" i="34"/>
  <c r="S23" i="34"/>
  <c r="U23" i="34"/>
  <c r="W23" i="34"/>
  <c r="BR23" i="34"/>
  <c r="D24" i="34"/>
  <c r="DC224" i="34" s="1"/>
  <c r="K24" i="34"/>
  <c r="M24" i="34"/>
  <c r="O24" i="34"/>
  <c r="Q24" i="34"/>
  <c r="S24" i="34"/>
  <c r="U24" i="34"/>
  <c r="W24" i="34"/>
  <c r="BR24" i="34"/>
  <c r="K25" i="34"/>
  <c r="M25" i="34"/>
  <c r="O25" i="34"/>
  <c r="Q25" i="34"/>
  <c r="S25" i="34"/>
  <c r="U25" i="34"/>
  <c r="W25" i="34"/>
  <c r="K26" i="34"/>
  <c r="M26" i="34"/>
  <c r="O26" i="34"/>
  <c r="Q26" i="34"/>
  <c r="S26" i="34"/>
  <c r="U26" i="34"/>
  <c r="W26" i="34"/>
  <c r="BR26" i="34"/>
  <c r="K27" i="34"/>
  <c r="M27" i="34"/>
  <c r="O27" i="34"/>
  <c r="Q27" i="34"/>
  <c r="S27" i="34"/>
  <c r="U27" i="34"/>
  <c r="W27" i="34"/>
  <c r="BR27" i="34"/>
  <c r="D28" i="34"/>
  <c r="DC228" i="34" s="1"/>
  <c r="K28" i="34"/>
  <c r="M28" i="34"/>
  <c r="O28" i="34"/>
  <c r="Q28" i="34"/>
  <c r="S28" i="34"/>
  <c r="U28" i="34"/>
  <c r="W28" i="34"/>
  <c r="K29" i="34"/>
  <c r="M29" i="34"/>
  <c r="O29" i="34"/>
  <c r="Q29" i="34"/>
  <c r="S29" i="34"/>
  <c r="U29" i="34"/>
  <c r="W29" i="34"/>
  <c r="D30" i="34"/>
  <c r="DC230" i="34" s="1"/>
  <c r="K30" i="34"/>
  <c r="M30" i="34"/>
  <c r="O30" i="34"/>
  <c r="Q30" i="34"/>
  <c r="S30" i="34"/>
  <c r="U30" i="34"/>
  <c r="W30" i="34"/>
  <c r="K31" i="34"/>
  <c r="M31" i="34"/>
  <c r="O31" i="34"/>
  <c r="Q31" i="34"/>
  <c r="S31" i="34"/>
  <c r="U31" i="34"/>
  <c r="W31" i="34"/>
  <c r="BF27" i="24"/>
  <c r="BF29" i="24"/>
  <c r="BG63" i="24"/>
  <c r="BG67" i="24"/>
  <c r="D22" i="24"/>
  <c r="DC222" i="24" s="1"/>
  <c r="D28" i="24"/>
  <c r="DC228" i="24" s="1"/>
  <c r="D30" i="24"/>
  <c r="DC230" i="24" s="1"/>
  <c r="AC30" i="24"/>
  <c r="BR18" i="24"/>
  <c r="BR22" i="24"/>
  <c r="BR23" i="24"/>
  <c r="BR24" i="24"/>
  <c r="BR26" i="24"/>
  <c r="BR27" i="24"/>
  <c r="K25" i="24"/>
  <c r="M25" i="24"/>
  <c r="O25" i="24"/>
  <c r="Q25" i="24"/>
  <c r="S25" i="24"/>
  <c r="U25" i="24"/>
  <c r="W25" i="24"/>
  <c r="K26" i="24"/>
  <c r="M26" i="24"/>
  <c r="O26" i="24"/>
  <c r="Q26" i="24"/>
  <c r="S26" i="24"/>
  <c r="U26" i="24"/>
  <c r="W26" i="24"/>
  <c r="K27" i="24"/>
  <c r="M27" i="24"/>
  <c r="O27" i="24"/>
  <c r="Q27" i="24"/>
  <c r="S27" i="24"/>
  <c r="U27" i="24"/>
  <c r="W27" i="24"/>
  <c r="K28" i="24"/>
  <c r="M28" i="24"/>
  <c r="O28" i="24"/>
  <c r="Q28" i="24"/>
  <c r="S28" i="24"/>
  <c r="U28" i="24"/>
  <c r="W28" i="24"/>
  <c r="K29" i="24"/>
  <c r="M29" i="24"/>
  <c r="O29" i="24"/>
  <c r="Q29" i="24"/>
  <c r="S29" i="24"/>
  <c r="U29" i="24"/>
  <c r="W29" i="24"/>
  <c r="K30" i="24"/>
  <c r="M30" i="24"/>
  <c r="O30" i="24"/>
  <c r="Q30" i="24"/>
  <c r="S30" i="24"/>
  <c r="U30" i="24"/>
  <c r="W30" i="24"/>
  <c r="K24" i="24"/>
  <c r="M24" i="24"/>
  <c r="O24" i="24"/>
  <c r="Q24" i="24"/>
  <c r="S24" i="24"/>
  <c r="U24" i="24"/>
  <c r="W24" i="24"/>
  <c r="K21" i="24"/>
  <c r="M21" i="24"/>
  <c r="O21" i="24"/>
  <c r="Q21" i="24"/>
  <c r="S21" i="24"/>
  <c r="U21" i="24"/>
  <c r="W21" i="24"/>
  <c r="K22" i="24"/>
  <c r="M22" i="24"/>
  <c r="O22" i="24"/>
  <c r="Q22" i="24"/>
  <c r="S22" i="24"/>
  <c r="U22" i="24"/>
  <c r="W22" i="24"/>
  <c r="K23" i="24"/>
  <c r="M23" i="24"/>
  <c r="O23" i="24"/>
  <c r="Q23" i="24"/>
  <c r="S23" i="24"/>
  <c r="U23" i="24"/>
  <c r="W23" i="24"/>
  <c r="AQ42" i="24"/>
  <c r="K11" i="24"/>
  <c r="K12" i="24"/>
  <c r="K13" i="24"/>
  <c r="K14" i="24"/>
  <c r="K15" i="24"/>
  <c r="K16" i="24"/>
  <c r="K17" i="24"/>
  <c r="K18" i="24"/>
  <c r="K19" i="24"/>
  <c r="K20" i="24"/>
  <c r="K31" i="24"/>
  <c r="M11" i="24"/>
  <c r="M12" i="24"/>
  <c r="M13" i="24"/>
  <c r="M14" i="24"/>
  <c r="M15" i="24"/>
  <c r="M16" i="24"/>
  <c r="M17" i="24"/>
  <c r="M18" i="24"/>
  <c r="M19" i="24"/>
  <c r="M20" i="24"/>
  <c r="M31" i="24"/>
  <c r="W11" i="24"/>
  <c r="W12" i="24"/>
  <c r="W13" i="24"/>
  <c r="W14" i="24"/>
  <c r="W15" i="24"/>
  <c r="W16" i="24"/>
  <c r="W17" i="24"/>
  <c r="W18" i="24"/>
  <c r="W19" i="24"/>
  <c r="W20" i="24"/>
  <c r="W31" i="24"/>
  <c r="U11" i="24"/>
  <c r="U12" i="24"/>
  <c r="U13" i="24"/>
  <c r="U14" i="24"/>
  <c r="U15" i="24"/>
  <c r="U16" i="24"/>
  <c r="U17" i="24"/>
  <c r="U18" i="24"/>
  <c r="U19" i="24"/>
  <c r="U20" i="24"/>
  <c r="U31" i="24"/>
  <c r="S11" i="24"/>
  <c r="S12" i="24"/>
  <c r="S13" i="24"/>
  <c r="S14" i="24"/>
  <c r="S15" i="24"/>
  <c r="S16" i="24"/>
  <c r="S17" i="24"/>
  <c r="S18" i="24"/>
  <c r="S19" i="24"/>
  <c r="S20" i="24"/>
  <c r="S31" i="24"/>
  <c r="Q11" i="24"/>
  <c r="Q12" i="24"/>
  <c r="Q13" i="24"/>
  <c r="Q14" i="24"/>
  <c r="Q15" i="24"/>
  <c r="Q16" i="24"/>
  <c r="Q17" i="24"/>
  <c r="Q18" i="24"/>
  <c r="Q19" i="24"/>
  <c r="Q20" i="24"/>
  <c r="Q31" i="24"/>
  <c r="O11" i="24"/>
  <c r="O12" i="24"/>
  <c r="O13" i="24"/>
  <c r="O14" i="24"/>
  <c r="O15" i="24"/>
  <c r="O16" i="24"/>
  <c r="O17" i="24"/>
  <c r="O18" i="24"/>
  <c r="O19" i="24"/>
  <c r="O20" i="24"/>
  <c r="O31" i="24"/>
  <c r="D3" i="24"/>
  <c r="K1" i="24"/>
  <c r="E91" i="3"/>
  <c r="E92" i="3"/>
  <c r="E93" i="3"/>
  <c r="E94" i="3"/>
  <c r="E95" i="3"/>
  <c r="E96" i="3"/>
  <c r="E97" i="3"/>
  <c r="E98" i="3"/>
  <c r="E99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AJ56" i="24"/>
  <c r="AQ43" i="24"/>
  <c r="BR12" i="24"/>
  <c r="BR15" i="24"/>
  <c r="AN39" i="24"/>
  <c r="AM39" i="24"/>
  <c r="AL39" i="24"/>
  <c r="AL40" i="24" s="1"/>
  <c r="AL41" i="24" s="1"/>
  <c r="AO39" i="24"/>
  <c r="AP39" i="24"/>
  <c r="AQ39" i="24"/>
  <c r="E10" i="3"/>
  <c r="E11" i="3"/>
  <c r="E12" i="3"/>
  <c r="E13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A48" i="48"/>
  <c r="C63" i="49"/>
  <c r="C17" i="44"/>
  <c r="DB217" i="44" s="1"/>
  <c r="BR14" i="34"/>
  <c r="D24" i="38"/>
  <c r="DC224" i="38" s="1"/>
  <c r="D24" i="41"/>
  <c r="DC224" i="41" s="1"/>
  <c r="D70" i="46"/>
  <c r="D24" i="39"/>
  <c r="DC224" i="39" s="1"/>
  <c r="D24" i="24"/>
  <c r="DC224" i="24" s="1"/>
  <c r="D24" i="46"/>
  <c r="DC224" i="46" s="1"/>
  <c r="AJ63" i="49"/>
  <c r="E34" i="43"/>
  <c r="BJ23" i="35"/>
  <c r="Z21" i="34"/>
  <c r="C18" i="24"/>
  <c r="DB218" i="24" s="1"/>
  <c r="Z21" i="36"/>
  <c r="BE12" i="35"/>
  <c r="BG56" i="35" s="1"/>
  <c r="BE12" i="36"/>
  <c r="BG56" i="36" s="1"/>
  <c r="Z21" i="49"/>
  <c r="AJ55" i="49" s="1"/>
  <c r="Z21" i="47"/>
  <c r="AJ55" i="47" s="1"/>
  <c r="Z21" i="46"/>
  <c r="Z21" i="45"/>
  <c r="AJ55" i="45" s="1"/>
  <c r="Z21" i="44"/>
  <c r="AJ55" i="44" s="1"/>
  <c r="Z21" i="40"/>
  <c r="AJ55" i="40" s="1"/>
  <c r="Z21" i="39"/>
  <c r="AJ55" i="39" s="1"/>
  <c r="Z21" i="37"/>
  <c r="Z21" i="24"/>
  <c r="AJ55" i="24" s="1"/>
  <c r="C18" i="35"/>
  <c r="DB218" i="35" s="1"/>
  <c r="Z21" i="50"/>
  <c r="AJ55" i="50" s="1"/>
  <c r="Z21" i="43"/>
  <c r="AJ55" i="43" s="1"/>
  <c r="BE12" i="43"/>
  <c r="BG56" i="43" s="1"/>
  <c r="C18" i="36"/>
  <c r="DB218" i="36" s="1"/>
  <c r="Z21" i="41"/>
  <c r="AJ55" i="41" s="1"/>
  <c r="C64" i="44"/>
  <c r="C64" i="45"/>
  <c r="C64" i="47"/>
  <c r="C64" i="49"/>
  <c r="C18" i="51"/>
  <c r="DB218" i="51" s="1"/>
  <c r="C18" i="40"/>
  <c r="DB218" i="40" s="1"/>
  <c r="BE12" i="40"/>
  <c r="BG56" i="40" s="1"/>
  <c r="BE12" i="34"/>
  <c r="BG54" i="34" s="1"/>
  <c r="C18" i="34"/>
  <c r="DB218" i="34" s="1"/>
  <c r="Z21" i="48"/>
  <c r="AJ55" i="48" s="1"/>
  <c r="BE12" i="45"/>
  <c r="C64" i="46"/>
  <c r="BE12" i="49"/>
  <c r="BG56" i="49" s="1"/>
  <c r="C18" i="38"/>
  <c r="DB218" i="38" s="1"/>
  <c r="C64" i="50"/>
  <c r="C64" i="43"/>
  <c r="BE12" i="44"/>
  <c r="BG56" i="44" s="1"/>
  <c r="BE12" i="46"/>
  <c r="BG56" i="46" s="1"/>
  <c r="BE12" i="39"/>
  <c r="BG56" i="39" s="1"/>
  <c r="C18" i="46"/>
  <c r="DB218" i="46" s="1"/>
  <c r="BR15" i="45"/>
  <c r="C18" i="44"/>
  <c r="DB218" i="44" s="1"/>
  <c r="BR15" i="40"/>
  <c r="Z21" i="35"/>
  <c r="AJ55" i="35" s="1"/>
  <c r="BE12" i="48"/>
  <c r="C18" i="39"/>
  <c r="DB218" i="39" s="1"/>
  <c r="C18" i="37"/>
  <c r="DB218" i="37" s="1"/>
  <c r="C18" i="41"/>
  <c r="DB218" i="41" s="1"/>
  <c r="BE12" i="50"/>
  <c r="BS15" i="50"/>
  <c r="C18" i="50"/>
  <c r="DB218" i="50" s="1"/>
  <c r="BE12" i="37"/>
  <c r="BG56" i="37" s="1"/>
  <c r="C18" i="49"/>
  <c r="DB218" i="49" s="1"/>
  <c r="BR15" i="47"/>
  <c r="C18" i="47"/>
  <c r="DB218" i="47" s="1"/>
  <c r="BR15" i="46"/>
  <c r="BJ24" i="46"/>
  <c r="N76" i="46"/>
  <c r="AJ63" i="37"/>
  <c r="E34" i="34"/>
  <c r="BR15" i="48"/>
  <c r="BE12" i="41"/>
  <c r="BG56" i="41" s="1"/>
  <c r="C64" i="48"/>
  <c r="BE12" i="24"/>
  <c r="BG56" i="24" s="1"/>
  <c r="BR15" i="35"/>
  <c r="E34" i="35"/>
  <c r="BR15" i="38"/>
  <c r="BR15" i="41"/>
  <c r="C18" i="43"/>
  <c r="DB218" i="43" s="1"/>
  <c r="BR15" i="43"/>
  <c r="BR15" i="49"/>
  <c r="AE32" i="45"/>
  <c r="AF32" i="45" s="1"/>
  <c r="AG32" i="45" s="1"/>
  <c r="C27" i="24"/>
  <c r="BJ21" i="24" s="1"/>
  <c r="Z30" i="39"/>
  <c r="C27" i="36"/>
  <c r="C27" i="34"/>
  <c r="Z30" i="38"/>
  <c r="AJ64" i="38" s="1"/>
  <c r="Z30" i="35"/>
  <c r="AJ64" i="35" s="1"/>
  <c r="Z30" i="47"/>
  <c r="AJ64" i="47" s="1"/>
  <c r="Z30" i="43"/>
  <c r="C27" i="38"/>
  <c r="C27" i="41"/>
  <c r="Z30" i="44"/>
  <c r="Z30" i="37"/>
  <c r="AJ64" i="37" s="1"/>
  <c r="T75" i="49"/>
  <c r="AJ63" i="38"/>
  <c r="AE33" i="37"/>
  <c r="AF33" i="37" s="1"/>
  <c r="AG33" i="37" s="1"/>
  <c r="AJ67" i="37"/>
  <c r="AJ62" i="43"/>
  <c r="BE9" i="24"/>
  <c r="BG53" i="24" s="1"/>
  <c r="Z18" i="24"/>
  <c r="AJ52" i="24" s="1"/>
  <c r="BE9" i="35"/>
  <c r="BG53" i="35" s="1"/>
  <c r="C15" i="36"/>
  <c r="DB215" i="36" s="1"/>
  <c r="Z18" i="49"/>
  <c r="AJ52" i="49" s="1"/>
  <c r="Z18" i="48"/>
  <c r="AJ52" i="48" s="1"/>
  <c r="Z18" i="45"/>
  <c r="AJ52" i="45" s="1"/>
  <c r="Z18" i="43"/>
  <c r="AJ52" i="43" s="1"/>
  <c r="Z18" i="38"/>
  <c r="AJ52" i="38" s="1"/>
  <c r="Z18" i="34"/>
  <c r="AJ52" i="34" s="1"/>
  <c r="Z18" i="36"/>
  <c r="AJ52" i="36" s="1"/>
  <c r="BE9" i="36"/>
  <c r="BG53" i="36" s="1"/>
  <c r="Z18" i="50"/>
  <c r="AJ52" i="50" s="1"/>
  <c r="Z18" i="44"/>
  <c r="AJ52" i="44" s="1"/>
  <c r="Z18" i="37"/>
  <c r="AJ52" i="37" s="1"/>
  <c r="BE9" i="43"/>
  <c r="BG53" i="43" s="1"/>
  <c r="Z33" i="24"/>
  <c r="AE33" i="24" s="1"/>
  <c r="AF33" i="24" s="1"/>
  <c r="AG33" i="24" s="1"/>
  <c r="Z33" i="35"/>
  <c r="Z33" i="49"/>
  <c r="Z33" i="48"/>
  <c r="AE33" i="48" s="1"/>
  <c r="AF33" i="48" s="1"/>
  <c r="AG33" i="48" s="1"/>
  <c r="Z33" i="43"/>
  <c r="AE33" i="43" s="1"/>
  <c r="AF33" i="43" s="1"/>
  <c r="AG33" i="43" s="1"/>
  <c r="C76" i="43"/>
  <c r="H76" i="43" s="1"/>
  <c r="Z33" i="36"/>
  <c r="AJ67" i="36" s="1"/>
  <c r="C30" i="24"/>
  <c r="Z33" i="47"/>
  <c r="AJ67" i="47" s="1"/>
  <c r="Z33" i="45"/>
  <c r="AE33" i="45" s="1"/>
  <c r="AF33" i="45" s="1"/>
  <c r="AG33" i="45" s="1"/>
  <c r="Z33" i="40"/>
  <c r="AJ67" i="40" s="1"/>
  <c r="Z33" i="39"/>
  <c r="AJ67" i="39" s="1"/>
  <c r="Z29" i="24"/>
  <c r="C26" i="24"/>
  <c r="DB226" i="24" s="1"/>
  <c r="Z29" i="50"/>
  <c r="AJ63" i="50" s="1"/>
  <c r="Z29" i="48"/>
  <c r="Z29" i="43"/>
  <c r="Z29" i="41"/>
  <c r="Z29" i="35"/>
  <c r="AJ63" i="35" s="1"/>
  <c r="Z29" i="36"/>
  <c r="C26" i="36"/>
  <c r="DB226" i="36" s="1"/>
  <c r="C26" i="34"/>
  <c r="Z29" i="46"/>
  <c r="AJ63" i="46" s="1"/>
  <c r="Z25" i="24"/>
  <c r="BE16" i="34"/>
  <c r="C68" i="43"/>
  <c r="BJ24" i="49"/>
  <c r="BJ24" i="50"/>
  <c r="AE32" i="43"/>
  <c r="AF32" i="43" s="1"/>
  <c r="AG32" i="43" s="1"/>
  <c r="AE32" i="36"/>
  <c r="AF32" i="36" s="1"/>
  <c r="AG32" i="36" s="1"/>
  <c r="Z18" i="35"/>
  <c r="AJ52" i="35" s="1"/>
  <c r="E98" i="52"/>
  <c r="D59" i="50"/>
  <c r="D59" i="46"/>
  <c r="D13" i="38"/>
  <c r="DC213" i="38" s="1"/>
  <c r="D75" i="50"/>
  <c r="D75" i="49"/>
  <c r="D75" i="48"/>
  <c r="D29" i="47"/>
  <c r="DC229" i="47" s="1"/>
  <c r="D75" i="45"/>
  <c r="D29" i="43"/>
  <c r="DC229" i="43" s="1"/>
  <c r="D29" i="41"/>
  <c r="DC229" i="41" s="1"/>
  <c r="D29" i="40"/>
  <c r="DC229" i="40" s="1"/>
  <c r="D29" i="38"/>
  <c r="DC229" i="38" s="1"/>
  <c r="D29" i="35"/>
  <c r="DC229" i="35" s="1"/>
  <c r="D29" i="51"/>
  <c r="DC229" i="51" s="1"/>
  <c r="D29" i="49"/>
  <c r="DC229" i="49" s="1"/>
  <c r="D29" i="48"/>
  <c r="DC229" i="48" s="1"/>
  <c r="D75" i="47"/>
  <c r="D29" i="46"/>
  <c r="DC229" i="46" s="1"/>
  <c r="D29" i="44"/>
  <c r="DC229" i="44" s="1"/>
  <c r="D75" i="43"/>
  <c r="D29" i="37"/>
  <c r="DC229" i="37" s="1"/>
  <c r="D29" i="34"/>
  <c r="DC229" i="34" s="1"/>
  <c r="D17" i="24"/>
  <c r="DC217" i="24" s="1"/>
  <c r="AE32" i="44"/>
  <c r="AF32" i="44" s="1"/>
  <c r="AG32" i="44" s="1"/>
  <c r="BT29" i="43"/>
  <c r="D27" i="48"/>
  <c r="DC227" i="48" s="1"/>
  <c r="D73" i="48"/>
  <c r="D27" i="44"/>
  <c r="DC227" i="44" s="1"/>
  <c r="D27" i="43"/>
  <c r="DC227" i="43" s="1"/>
  <c r="D27" i="49"/>
  <c r="DC227" i="49" s="1"/>
  <c r="D73" i="47"/>
  <c r="D27" i="38"/>
  <c r="DC227" i="38" s="1"/>
  <c r="D27" i="37"/>
  <c r="DC227" i="37" s="1"/>
  <c r="D21" i="35"/>
  <c r="DC221" i="35" s="1"/>
  <c r="R76" i="48"/>
  <c r="DE230" i="48" s="1"/>
  <c r="BJ24" i="48"/>
  <c r="CE16" i="39"/>
  <c r="CE21" i="45"/>
  <c r="D13" i="46"/>
  <c r="DC213" i="46" s="1"/>
  <c r="CE24" i="48"/>
  <c r="CE24" i="49"/>
  <c r="CE22" i="38"/>
  <c r="CE20" i="38"/>
  <c r="CE17" i="37"/>
  <c r="CE14" i="36"/>
  <c r="CE9" i="37"/>
  <c r="CE8" i="37"/>
  <c r="CF16" i="50"/>
  <c r="CF22" i="50"/>
  <c r="CE17" i="40"/>
  <c r="CE9" i="49"/>
  <c r="CE11" i="48"/>
  <c r="CE28" i="47"/>
  <c r="BJ69" i="47" s="1"/>
  <c r="BF30" i="24"/>
  <c r="D29" i="36"/>
  <c r="DC229" i="36" s="1"/>
  <c r="D29" i="39"/>
  <c r="DC229" i="39" s="1"/>
  <c r="BG67" i="41"/>
  <c r="CE27" i="35"/>
  <c r="CE25" i="37"/>
  <c r="CE25" i="24"/>
  <c r="CE24" i="35"/>
  <c r="CE24" i="24"/>
  <c r="CE23" i="40"/>
  <c r="CE22" i="45"/>
  <c r="D75" i="46"/>
  <c r="CE27" i="46"/>
  <c r="CE25" i="48"/>
  <c r="CE20" i="37"/>
  <c r="CE19" i="35"/>
  <c r="CE17" i="36"/>
  <c r="CE16" i="41"/>
  <c r="CE12" i="36"/>
  <c r="CE11" i="41"/>
  <c r="CE11" i="38"/>
  <c r="Q32" i="51"/>
  <c r="CE19" i="49"/>
  <c r="CE12" i="49"/>
  <c r="CE17" i="45"/>
  <c r="CE19" i="43"/>
  <c r="BT29" i="46"/>
  <c r="BG68" i="47"/>
  <c r="BI68" i="47"/>
  <c r="CE6" i="44"/>
  <c r="E85" i="52" s="1"/>
  <c r="BT29" i="44"/>
  <c r="BW31" i="44" s="1"/>
  <c r="BI68" i="48"/>
  <c r="D71" i="50"/>
  <c r="D25" i="49"/>
  <c r="DC225" i="49" s="1"/>
  <c r="D71" i="48"/>
  <c r="D25" i="45"/>
  <c r="DC225" i="45" s="1"/>
  <c r="D25" i="43"/>
  <c r="DC225" i="43" s="1"/>
  <c r="D25" i="39"/>
  <c r="DC225" i="39" s="1"/>
  <c r="D25" i="50"/>
  <c r="DC225" i="50" s="1"/>
  <c r="D25" i="48"/>
  <c r="DC225" i="48" s="1"/>
  <c r="D25" i="41"/>
  <c r="DC225" i="41" s="1"/>
  <c r="D25" i="40"/>
  <c r="DC225" i="40" s="1"/>
  <c r="D25" i="51"/>
  <c r="DC225" i="51" s="1"/>
  <c r="B96" i="52"/>
  <c r="B97" i="52"/>
  <c r="B98" i="52"/>
  <c r="B100" i="52"/>
  <c r="B101" i="52"/>
  <c r="B99" i="52"/>
  <c r="N53" i="48"/>
  <c r="N53" i="49"/>
  <c r="N53" i="50"/>
  <c r="N53" i="47"/>
  <c r="B93" i="52"/>
  <c r="B95" i="52"/>
  <c r="B90" i="52"/>
  <c r="B91" i="52"/>
  <c r="B92" i="52"/>
  <c r="B94" i="52"/>
  <c r="L53" i="47"/>
  <c r="L53" i="50"/>
  <c r="L53" i="46"/>
  <c r="L53" i="48"/>
  <c r="CE25" i="39"/>
  <c r="CE23" i="38"/>
  <c r="CE26" i="47"/>
  <c r="CE11" i="39"/>
  <c r="CE15" i="40"/>
  <c r="BW31" i="38"/>
  <c r="CE26" i="39"/>
  <c r="D29" i="24"/>
  <c r="DC229" i="24" s="1"/>
  <c r="BG68" i="36"/>
  <c r="CE26" i="35"/>
  <c r="CE26" i="24"/>
  <c r="CE25" i="41"/>
  <c r="BG68" i="45"/>
  <c r="CE27" i="45"/>
  <c r="CE26" i="48"/>
  <c r="CF24" i="50"/>
  <c r="CE20" i="41"/>
  <c r="CE17" i="39"/>
  <c r="CE17" i="35"/>
  <c r="CE17" i="46"/>
  <c r="CE6" i="47"/>
  <c r="E103" i="52" s="1"/>
  <c r="E106" i="52" s="1"/>
  <c r="BT29" i="47"/>
  <c r="BW31" i="47" s="1"/>
  <c r="BG63" i="50"/>
  <c r="H75" i="43"/>
  <c r="BJ23" i="43"/>
  <c r="AJ66" i="39"/>
  <c r="AE32" i="39"/>
  <c r="AF32" i="39" s="1"/>
  <c r="AG32" i="39" s="1"/>
  <c r="D68" i="50"/>
  <c r="D68" i="49"/>
  <c r="AL41" i="45"/>
  <c r="CE25" i="49"/>
  <c r="CE22" i="37"/>
  <c r="CE19" i="41"/>
  <c r="CE17" i="41"/>
  <c r="CF13" i="50"/>
  <c r="CE19" i="40"/>
  <c r="CE14" i="49"/>
  <c r="CE8" i="48"/>
  <c r="CE12" i="48"/>
  <c r="CE19" i="48"/>
  <c r="CE28" i="48"/>
  <c r="BJ69" i="48" s="1"/>
  <c r="CE9" i="46"/>
  <c r="CE9" i="45"/>
  <c r="CE8" i="44"/>
  <c r="CE16" i="44"/>
  <c r="CE18" i="44"/>
  <c r="CE8" i="24"/>
  <c r="A1" i="24"/>
  <c r="D24" i="36"/>
  <c r="DC224" i="36" s="1"/>
  <c r="CE6" i="35"/>
  <c r="E37" i="52" s="1"/>
  <c r="E40" i="52" s="1"/>
  <c r="CE6" i="36"/>
  <c r="E43" i="52" s="1"/>
  <c r="E46" i="52" s="1"/>
  <c r="CE6" i="38"/>
  <c r="E55" i="52" s="1"/>
  <c r="E58" i="52" s="1"/>
  <c r="D16" i="47"/>
  <c r="DC216" i="47" s="1"/>
  <c r="A1" i="47"/>
  <c r="BG63" i="48"/>
  <c r="CE27" i="48"/>
  <c r="D16" i="48"/>
  <c r="DC216" i="48" s="1"/>
  <c r="BI67" i="49"/>
  <c r="CE21" i="37"/>
  <c r="CE19" i="36"/>
  <c r="CE15" i="35"/>
  <c r="CE14" i="38"/>
  <c r="CE14" i="37"/>
  <c r="CE13" i="35"/>
  <c r="CE12" i="38"/>
  <c r="CE12" i="37"/>
  <c r="CE8" i="41"/>
  <c r="CE8" i="39"/>
  <c r="CF12" i="50"/>
  <c r="CF21" i="50"/>
  <c r="CE8" i="40"/>
  <c r="CE28" i="40"/>
  <c r="BJ69" i="40" s="1"/>
  <c r="CE13" i="40"/>
  <c r="CE11" i="40"/>
  <c r="W32" i="51"/>
  <c r="O32" i="51"/>
  <c r="CE8" i="49"/>
  <c r="CE16" i="49"/>
  <c r="CE10" i="49"/>
  <c r="CE16" i="48"/>
  <c r="CE18" i="46"/>
  <c r="CE11" i="45"/>
  <c r="D70" i="49"/>
  <c r="D24" i="47"/>
  <c r="DC224" i="47" s="1"/>
  <c r="CE6" i="48"/>
  <c r="E109" i="52" s="1"/>
  <c r="E112" i="52" s="1"/>
  <c r="BT29" i="48"/>
  <c r="BW31" i="48" s="1"/>
  <c r="B108" i="52"/>
  <c r="B109" i="52"/>
  <c r="B110" i="52"/>
  <c r="B112" i="52"/>
  <c r="B113" i="52"/>
  <c r="B111" i="52"/>
  <c r="R53" i="49"/>
  <c r="R53" i="50"/>
  <c r="BJ23" i="44"/>
  <c r="N8" i="37"/>
  <c r="C53" i="52" s="1"/>
  <c r="B51" i="52"/>
  <c r="B53" i="52"/>
  <c r="B49" i="52"/>
  <c r="B48" i="52"/>
  <c r="B50" i="52"/>
  <c r="B52" i="52"/>
  <c r="N7" i="50"/>
  <c r="N7" i="49"/>
  <c r="AL41" i="40"/>
  <c r="AM40" i="40"/>
  <c r="CE20" i="35"/>
  <c r="CE13" i="37"/>
  <c r="CE10" i="38"/>
  <c r="CE10" i="37"/>
  <c r="CF20" i="50"/>
  <c r="CE21" i="40"/>
  <c r="AC33" i="24"/>
  <c r="D24" i="45"/>
  <c r="DC224" i="45" s="1"/>
  <c r="D70" i="47"/>
  <c r="CE27" i="47"/>
  <c r="D70" i="48"/>
  <c r="BT29" i="49"/>
  <c r="CE27" i="49"/>
  <c r="N30" i="37"/>
  <c r="DE230" i="37" s="1"/>
  <c r="CF25" i="50"/>
  <c r="CE21" i="35"/>
  <c r="CF23" i="50"/>
  <c r="CE18" i="38"/>
  <c r="CE18" i="37"/>
  <c r="CE18" i="35"/>
  <c r="CE15" i="37"/>
  <c r="CE11" i="36"/>
  <c r="CE10" i="36"/>
  <c r="CE9" i="35"/>
  <c r="CF8" i="50"/>
  <c r="CF17" i="50"/>
  <c r="CF28" i="50"/>
  <c r="BJ69" i="50"/>
  <c r="CE9" i="40"/>
  <c r="BJ24" i="39"/>
  <c r="D16" i="51"/>
  <c r="DC216" i="51" s="1"/>
  <c r="U32" i="51"/>
  <c r="M32" i="51"/>
  <c r="A1" i="51"/>
  <c r="CE18" i="49"/>
  <c r="CE15" i="48"/>
  <c r="CE20" i="48"/>
  <c r="CE16" i="46"/>
  <c r="CE28" i="46"/>
  <c r="BJ69" i="46" s="1"/>
  <c r="CE13" i="45"/>
  <c r="CE10" i="44"/>
  <c r="CE17" i="43"/>
  <c r="B120" i="52"/>
  <c r="B121" i="52"/>
  <c r="B122" i="52"/>
  <c r="B124" i="52"/>
  <c r="B125" i="52"/>
  <c r="B123" i="52"/>
  <c r="B105" i="52"/>
  <c r="B107" i="52"/>
  <c r="B102" i="52"/>
  <c r="B106" i="52"/>
  <c r="B103" i="52"/>
  <c r="B104" i="52"/>
  <c r="AL41" i="39"/>
  <c r="CE12" i="35"/>
  <c r="CE12" i="46"/>
  <c r="CE20" i="46"/>
  <c r="CE12" i="44"/>
  <c r="CE20" i="44"/>
  <c r="AT88" i="36"/>
  <c r="CE14" i="35"/>
  <c r="B115" i="52"/>
  <c r="B116" i="52"/>
  <c r="B118" i="52"/>
  <c r="B114" i="52"/>
  <c r="B117" i="52"/>
  <c r="B119" i="52"/>
  <c r="CE11" i="35"/>
  <c r="CE8" i="35"/>
  <c r="CE14" i="46"/>
  <c r="CE14" i="44"/>
  <c r="CE8" i="43"/>
  <c r="CE9" i="43"/>
  <c r="CE10" i="43"/>
  <c r="CE11" i="43"/>
  <c r="CE12" i="43"/>
  <c r="CE13" i="43"/>
  <c r="CE14" i="43"/>
  <c r="CE15" i="43"/>
  <c r="CE20" i="24"/>
  <c r="CE18" i="24"/>
  <c r="BF30" i="39"/>
  <c r="AL41" i="44"/>
  <c r="AM40" i="44"/>
  <c r="AT88" i="24"/>
  <c r="AM41" i="35"/>
  <c r="CE14" i="24"/>
  <c r="CE12" i="24"/>
  <c r="CE9" i="24"/>
  <c r="AM40" i="39"/>
  <c r="AJ63" i="44"/>
  <c r="AM40" i="47"/>
  <c r="AN40" i="47" s="1"/>
  <c r="AL41" i="47"/>
  <c r="AJ66" i="49"/>
  <c r="AE32" i="49"/>
  <c r="AF32" i="49" s="1"/>
  <c r="AG32" i="49" s="1"/>
  <c r="AT88" i="44"/>
  <c r="AM40" i="45"/>
  <c r="AT88" i="45"/>
  <c r="AM40" i="48"/>
  <c r="AM40" i="49"/>
  <c r="BF30" i="44"/>
  <c r="AL41" i="50"/>
  <c r="AM40" i="50"/>
  <c r="AN40" i="50" s="1"/>
  <c r="AO40" i="50" s="1"/>
  <c r="AT88" i="47"/>
  <c r="AJ58" i="50"/>
  <c r="BY1" i="45"/>
  <c r="BE1" i="45"/>
  <c r="BF30" i="38"/>
  <c r="BE1" i="40"/>
  <c r="BF30" i="45"/>
  <c r="P8" i="38"/>
  <c r="Q22" i="38" s="1"/>
  <c r="B57" i="52"/>
  <c r="B59" i="52"/>
  <c r="B54" i="52"/>
  <c r="B55" i="52"/>
  <c r="B56" i="52"/>
  <c r="B58" i="52"/>
  <c r="BY1" i="39"/>
  <c r="BE1" i="39"/>
  <c r="R7" i="39"/>
  <c r="H53" i="49"/>
  <c r="H53" i="50"/>
  <c r="C124" i="52" s="1"/>
  <c r="H53" i="48"/>
  <c r="S74" i="48" s="1"/>
  <c r="DF228" i="48" s="1"/>
  <c r="H53" i="46"/>
  <c r="O63" i="46" s="1"/>
  <c r="B79" i="52"/>
  <c r="B80" i="52"/>
  <c r="B82" i="52"/>
  <c r="B78" i="52"/>
  <c r="H53" i="47"/>
  <c r="H53" i="45"/>
  <c r="CE6" i="37"/>
  <c r="E49" i="52" s="1"/>
  <c r="E52" i="52" s="1"/>
  <c r="H53" i="44"/>
  <c r="BW31" i="37"/>
  <c r="BF30" i="47"/>
  <c r="BF30" i="49"/>
  <c r="BF30" i="50"/>
  <c r="H54" i="43"/>
  <c r="H54" i="45" s="1"/>
  <c r="B47" i="52"/>
  <c r="B45" i="52"/>
  <c r="Z33" i="34"/>
  <c r="AJ67" i="34" s="1"/>
  <c r="Z29" i="34"/>
  <c r="AJ63" i="34" s="1"/>
  <c r="Z25" i="34"/>
  <c r="AJ59" i="34" s="1"/>
  <c r="Z32" i="24"/>
  <c r="AJ66" i="24" s="1"/>
  <c r="Z28" i="24"/>
  <c r="AJ62" i="24" s="1"/>
  <c r="Z24" i="24"/>
  <c r="AJ58" i="24" s="1"/>
  <c r="AE33" i="49"/>
  <c r="AF33" i="49" s="1"/>
  <c r="AG33" i="49" s="1"/>
  <c r="AJ67" i="49"/>
  <c r="AJ63" i="43"/>
  <c r="AE33" i="39"/>
  <c r="AF33" i="39" s="1"/>
  <c r="AG33" i="39" s="1"/>
  <c r="F30" i="24"/>
  <c r="AJ67" i="48"/>
  <c r="AJ64" i="43"/>
  <c r="AL42" i="39"/>
  <c r="AL43" i="39" s="1"/>
  <c r="AN40" i="39"/>
  <c r="AN41" i="39" s="1"/>
  <c r="AL42" i="40"/>
  <c r="AL43" i="40" s="1"/>
  <c r="AM41" i="40"/>
  <c r="AM41" i="39"/>
  <c r="AL42" i="47"/>
  <c r="AL43" i="47" s="1"/>
  <c r="AN41" i="47"/>
  <c r="AE32" i="24"/>
  <c r="AF32" i="24" s="1"/>
  <c r="AG32" i="24" s="1"/>
  <c r="B61" i="52"/>
  <c r="B62" i="52"/>
  <c r="B64" i="52"/>
  <c r="B60" i="52"/>
  <c r="B65" i="52"/>
  <c r="B63" i="52"/>
  <c r="R7" i="48"/>
  <c r="R7" i="47"/>
  <c r="R7" i="49"/>
  <c r="R7" i="45"/>
  <c r="R7" i="44"/>
  <c r="R7" i="41"/>
  <c r="R7" i="50"/>
  <c r="R7" i="43"/>
  <c r="R7" i="40"/>
  <c r="R7" i="46"/>
  <c r="AL42" i="50"/>
  <c r="AL43" i="50"/>
  <c r="AN41" i="50"/>
  <c r="AM41" i="50"/>
  <c r="AN40" i="49"/>
  <c r="AN41" i="49" s="1"/>
  <c r="AM41" i="49"/>
  <c r="AL42" i="49"/>
  <c r="AL43" i="49" s="1"/>
  <c r="AN40" i="45"/>
  <c r="AN41" i="45" s="1"/>
  <c r="AL42" i="45"/>
  <c r="AL43" i="45" s="1"/>
  <c r="AL42" i="48"/>
  <c r="AL43" i="48" s="1"/>
  <c r="AN40" i="48"/>
  <c r="AN41" i="48" s="1"/>
  <c r="AM42" i="50"/>
  <c r="AM43" i="50" s="1"/>
  <c r="AL42" i="44"/>
  <c r="AL43" i="44" s="1"/>
  <c r="AM41" i="47"/>
  <c r="AM41" i="48"/>
  <c r="AN40" i="40"/>
  <c r="AM41" i="45"/>
  <c r="AM42" i="40"/>
  <c r="AM43" i="40" s="1"/>
  <c r="AO40" i="40"/>
  <c r="AM42" i="45"/>
  <c r="AM43" i="45" s="1"/>
  <c r="AO40" i="45"/>
  <c r="AO40" i="47"/>
  <c r="AM42" i="47"/>
  <c r="AM43" i="47" s="1"/>
  <c r="AM42" i="48"/>
  <c r="AM43" i="48" s="1"/>
  <c r="AO40" i="48"/>
  <c r="AN42" i="48" s="1"/>
  <c r="AN43" i="48" s="1"/>
  <c r="AM42" i="49"/>
  <c r="AM43" i="49" s="1"/>
  <c r="AO40" i="49"/>
  <c r="AM42" i="39"/>
  <c r="AM43" i="39"/>
  <c r="AO40" i="39"/>
  <c r="AO41" i="39" s="1"/>
  <c r="AN41" i="40"/>
  <c r="AP40" i="48"/>
  <c r="AP41" i="48" s="1"/>
  <c r="AN42" i="40"/>
  <c r="AN43" i="40" s="1"/>
  <c r="AP40" i="40"/>
  <c r="AP41" i="40" s="1"/>
  <c r="AN42" i="47"/>
  <c r="AN43" i="47" s="1"/>
  <c r="AP40" i="47"/>
  <c r="AP41" i="47" s="1"/>
  <c r="AN42" i="45"/>
  <c r="AN43" i="45" s="1"/>
  <c r="AP40" i="45"/>
  <c r="AP41" i="45" s="1"/>
  <c r="AN42" i="39"/>
  <c r="AN43" i="39" s="1"/>
  <c r="AP40" i="39"/>
  <c r="AP41" i="39" s="1"/>
  <c r="AN42" i="49"/>
  <c r="AN43" i="49" s="1"/>
  <c r="AO41" i="47"/>
  <c r="AO41" i="40"/>
  <c r="AO41" i="48"/>
  <c r="AO41" i="45"/>
  <c r="AO42" i="39"/>
  <c r="AO43" i="39"/>
  <c r="AQ40" i="39"/>
  <c r="AQ41" i="39" s="1"/>
  <c r="AO42" i="40"/>
  <c r="AO43" i="40" s="1"/>
  <c r="AQ40" i="40"/>
  <c r="AQ41" i="40" s="1"/>
  <c r="AP42" i="40"/>
  <c r="AP43" i="40" s="1"/>
  <c r="AO42" i="48"/>
  <c r="AO43" i="48" s="1"/>
  <c r="AQ40" i="48"/>
  <c r="AQ41" i="48" s="1"/>
  <c r="AP42" i="48"/>
  <c r="AP43" i="48" s="1"/>
  <c r="AO42" i="45"/>
  <c r="AO43" i="45" s="1"/>
  <c r="AQ40" i="45"/>
  <c r="AQ41" i="45" s="1"/>
  <c r="AP42" i="45"/>
  <c r="AP43" i="45" s="1"/>
  <c r="AQ40" i="47"/>
  <c r="AQ41" i="47" s="1"/>
  <c r="AP42" i="47"/>
  <c r="AP43" i="47" s="1"/>
  <c r="AO42" i="47"/>
  <c r="AO43" i="47" s="1"/>
  <c r="T53" i="50" l="1"/>
  <c r="T54" i="49"/>
  <c r="U59" i="49" s="1"/>
  <c r="P53" i="50"/>
  <c r="P54" i="47"/>
  <c r="C103" i="52" s="1"/>
  <c r="L53" i="49"/>
  <c r="L54" i="45"/>
  <c r="L54" i="50" s="1"/>
  <c r="CE12" i="34"/>
  <c r="B84" i="52"/>
  <c r="J54" i="44"/>
  <c r="K73" i="44" s="1"/>
  <c r="A47" i="50"/>
  <c r="A47" i="44"/>
  <c r="A1" i="36"/>
  <c r="A1" i="50"/>
  <c r="BE1" i="34"/>
  <c r="CE22" i="34"/>
  <c r="CE17" i="34"/>
  <c r="CE11" i="34"/>
  <c r="CE10" i="34"/>
  <c r="AE33" i="34"/>
  <c r="AF33" i="34" s="1"/>
  <c r="AG33" i="34" s="1"/>
  <c r="BF27" i="34"/>
  <c r="D2" i="51"/>
  <c r="D62" i="44"/>
  <c r="D16" i="45"/>
  <c r="DC216" i="45" s="1"/>
  <c r="D16" i="24"/>
  <c r="DC216" i="24" s="1"/>
  <c r="D21" i="40"/>
  <c r="DC221" i="40" s="1"/>
  <c r="D13" i="43"/>
  <c r="DC213" i="43" s="1"/>
  <c r="D13" i="48"/>
  <c r="DC213" i="48" s="1"/>
  <c r="D13" i="34"/>
  <c r="DC213" i="34" s="1"/>
  <c r="D21" i="24"/>
  <c r="DC221" i="24" s="1"/>
  <c r="D13" i="44"/>
  <c r="DC213" i="44" s="1"/>
  <c r="D16" i="36"/>
  <c r="DC216" i="36" s="1"/>
  <c r="D65" i="49"/>
  <c r="D13" i="41"/>
  <c r="DC213" i="41" s="1"/>
  <c r="D21" i="38"/>
  <c r="DC221" i="38" s="1"/>
  <c r="D67" i="49"/>
  <c r="D13" i="47"/>
  <c r="DC213" i="47" s="1"/>
  <c r="D59" i="43"/>
  <c r="D13" i="50"/>
  <c r="DC213" i="50" s="1"/>
  <c r="D13" i="39"/>
  <c r="DC213" i="39" s="1"/>
  <c r="D21" i="48"/>
  <c r="DC221" i="48" s="1"/>
  <c r="D21" i="50"/>
  <c r="DC221" i="50" s="1"/>
  <c r="D13" i="51"/>
  <c r="DC213" i="51" s="1"/>
  <c r="D13" i="45"/>
  <c r="DC213" i="45" s="1"/>
  <c r="D59" i="47"/>
  <c r="D13" i="49"/>
  <c r="DC213" i="49" s="1"/>
  <c r="BE16" i="45"/>
  <c r="BG60" i="45" s="1"/>
  <c r="Z20" i="44"/>
  <c r="AJ54" i="44" s="1"/>
  <c r="Z16" i="46"/>
  <c r="AJ50" i="46" s="1"/>
  <c r="C17" i="45"/>
  <c r="DB217" i="45" s="1"/>
  <c r="BE11" i="35"/>
  <c r="BG55" i="35" s="1"/>
  <c r="BE11" i="45"/>
  <c r="BG55" i="45" s="1"/>
  <c r="D66" i="44"/>
  <c r="BE11" i="37"/>
  <c r="BG55" i="37" s="1"/>
  <c r="BR14" i="39"/>
  <c r="C17" i="24"/>
  <c r="DB217" i="24" s="1"/>
  <c r="C17" i="46"/>
  <c r="DB217" i="46" s="1"/>
  <c r="BE11" i="44"/>
  <c r="BG55" i="44" s="1"/>
  <c r="C17" i="48"/>
  <c r="DB217" i="48" s="1"/>
  <c r="C17" i="50"/>
  <c r="DB217" i="50" s="1"/>
  <c r="C63" i="44"/>
  <c r="BE11" i="43"/>
  <c r="BG55" i="43" s="1"/>
  <c r="D63" i="50"/>
  <c r="BR14" i="43"/>
  <c r="C17" i="43"/>
  <c r="DB217" i="43" s="1"/>
  <c r="Z20" i="40"/>
  <c r="AJ54" i="40" s="1"/>
  <c r="BE11" i="47"/>
  <c r="BG55" i="47" s="1"/>
  <c r="C63" i="43"/>
  <c r="C17" i="35"/>
  <c r="DB217" i="35" s="1"/>
  <c r="D68" i="47"/>
  <c r="D68" i="46"/>
  <c r="D21" i="47"/>
  <c r="DC221" i="47" s="1"/>
  <c r="U74" i="49"/>
  <c r="U74" i="50" s="1"/>
  <c r="AA31" i="50" s="1"/>
  <c r="D19" i="50"/>
  <c r="DC219" i="50" s="1"/>
  <c r="D62" i="45"/>
  <c r="D16" i="34"/>
  <c r="DC216" i="34" s="1"/>
  <c r="D16" i="49"/>
  <c r="DC216" i="49" s="1"/>
  <c r="D13" i="35"/>
  <c r="DC213" i="35" s="1"/>
  <c r="D13" i="40"/>
  <c r="DC213" i="40" s="1"/>
  <c r="D59" i="48"/>
  <c r="D59" i="45"/>
  <c r="D67" i="43"/>
  <c r="D21" i="41"/>
  <c r="DC221" i="41" s="1"/>
  <c r="D13" i="36"/>
  <c r="DC213" i="36" s="1"/>
  <c r="D59" i="44"/>
  <c r="D59" i="49"/>
  <c r="C17" i="51"/>
  <c r="DB217" i="51" s="1"/>
  <c r="C17" i="49"/>
  <c r="DB217" i="49" s="1"/>
  <c r="BR14" i="24"/>
  <c r="BE11" i="46"/>
  <c r="BG55" i="46" s="1"/>
  <c r="BE11" i="39"/>
  <c r="BG55" i="39" s="1"/>
  <c r="C17" i="39"/>
  <c r="DB217" i="39" s="1"/>
  <c r="BE11" i="41"/>
  <c r="BG55" i="41" s="1"/>
  <c r="Z20" i="50"/>
  <c r="AJ54" i="50" s="1"/>
  <c r="D22" i="39"/>
  <c r="DC222" i="39" s="1"/>
  <c r="D16" i="43"/>
  <c r="DC216" i="43" s="1"/>
  <c r="D16" i="44"/>
  <c r="DC216" i="44" s="1"/>
  <c r="D68" i="45"/>
  <c r="C65" i="46"/>
  <c r="C65" i="44"/>
  <c r="BR10" i="39"/>
  <c r="D15" i="46"/>
  <c r="DC215" i="46" s="1"/>
  <c r="BJ24" i="24"/>
  <c r="DB230" i="24"/>
  <c r="CE27" i="24"/>
  <c r="CE26" i="37"/>
  <c r="CE26" i="36"/>
  <c r="CE26" i="34"/>
  <c r="CE25" i="35"/>
  <c r="CE25" i="34"/>
  <c r="CE24" i="38"/>
  <c r="CE24" i="34"/>
  <c r="CE21" i="49"/>
  <c r="CE22" i="49"/>
  <c r="CE28" i="38"/>
  <c r="BJ69" i="38" s="1"/>
  <c r="CE28" i="34"/>
  <c r="BJ67" i="34" s="1"/>
  <c r="CE17" i="38"/>
  <c r="CE16" i="35"/>
  <c r="CE15" i="39"/>
  <c r="CE12" i="41"/>
  <c r="CE10" i="35"/>
  <c r="CE9" i="41"/>
  <c r="CE8" i="38"/>
  <c r="CF15" i="50"/>
  <c r="CE18" i="40"/>
  <c r="CE14" i="40"/>
  <c r="V29" i="41"/>
  <c r="V29" i="46" s="1"/>
  <c r="DB229" i="41"/>
  <c r="BJ24" i="37"/>
  <c r="DB230" i="37"/>
  <c r="P30" i="38"/>
  <c r="P30" i="39" s="1"/>
  <c r="DB230" i="38"/>
  <c r="R30" i="39"/>
  <c r="DE230" i="39" s="1"/>
  <c r="DB230" i="39"/>
  <c r="DA231" i="3"/>
  <c r="DA209" i="3"/>
  <c r="CE9" i="44"/>
  <c r="CE11" i="44"/>
  <c r="CE15" i="44"/>
  <c r="AT86" i="34"/>
  <c r="AN40" i="35"/>
  <c r="CE19" i="34"/>
  <c r="CE18" i="34"/>
  <c r="CE15" i="34"/>
  <c r="CE16" i="24"/>
  <c r="CE8" i="34"/>
  <c r="AM40" i="38"/>
  <c r="AT88" i="39"/>
  <c r="AT88" i="40"/>
  <c r="AM40" i="43"/>
  <c r="AT88" i="43"/>
  <c r="AT88" i="50"/>
  <c r="J29" i="35"/>
  <c r="J29" i="36" s="1"/>
  <c r="DB229" i="35"/>
  <c r="F29" i="24"/>
  <c r="F29" i="37" s="1"/>
  <c r="DB229" i="24"/>
  <c r="AA31" i="24"/>
  <c r="DD228" i="24"/>
  <c r="AA29" i="24"/>
  <c r="DD226" i="24"/>
  <c r="AA28" i="24"/>
  <c r="DD225" i="24"/>
  <c r="AA27" i="24"/>
  <c r="DD224" i="24"/>
  <c r="AA25" i="24"/>
  <c r="AK59" i="24" s="1"/>
  <c r="AL59" i="24" s="1"/>
  <c r="DD222" i="24"/>
  <c r="AA24" i="24"/>
  <c r="DD221" i="24"/>
  <c r="AA23" i="24"/>
  <c r="DD220" i="24"/>
  <c r="BE1" i="48"/>
  <c r="BY1" i="48"/>
  <c r="E56" i="52"/>
  <c r="AA22" i="24"/>
  <c r="AK56" i="24" s="1"/>
  <c r="AL56" i="24" s="1"/>
  <c r="DD219" i="24"/>
  <c r="AA21" i="24"/>
  <c r="AK55" i="24" s="1"/>
  <c r="AL55" i="24" s="1"/>
  <c r="DD218" i="24"/>
  <c r="AA19" i="24"/>
  <c r="AK53" i="24" s="1"/>
  <c r="AL53" i="24" s="1"/>
  <c r="DD216" i="24"/>
  <c r="AA18" i="24"/>
  <c r="AK52" i="24" s="1"/>
  <c r="AL52" i="24" s="1"/>
  <c r="DD215" i="24"/>
  <c r="AA17" i="24"/>
  <c r="DD214" i="24"/>
  <c r="AA16" i="24"/>
  <c r="AK50" i="24" s="1"/>
  <c r="AL50" i="24" s="1"/>
  <c r="DD213" i="24"/>
  <c r="AA15" i="24"/>
  <c r="AK49" i="24" s="1"/>
  <c r="AL49" i="24" s="1"/>
  <c r="DD212" i="24"/>
  <c r="DB227" i="41"/>
  <c r="AJ64" i="39"/>
  <c r="BG64" i="39"/>
  <c r="I62" i="43"/>
  <c r="DF216" i="43" s="1"/>
  <c r="I59" i="43"/>
  <c r="DF213" i="43" s="1"/>
  <c r="I71" i="43"/>
  <c r="I71" i="48" s="1"/>
  <c r="BG65" i="37"/>
  <c r="DB227" i="34"/>
  <c r="DB226" i="38"/>
  <c r="D26" i="49"/>
  <c r="DC226" i="49" s="1"/>
  <c r="D72" i="45"/>
  <c r="D26" i="38"/>
  <c r="DC226" i="38" s="1"/>
  <c r="D72" i="44"/>
  <c r="D26" i="24"/>
  <c r="DC226" i="24" s="1"/>
  <c r="D26" i="46"/>
  <c r="DC226" i="46" s="1"/>
  <c r="D72" i="49"/>
  <c r="D26" i="45"/>
  <c r="DC226" i="45" s="1"/>
  <c r="D26" i="40"/>
  <c r="DC226" i="40" s="1"/>
  <c r="D26" i="36"/>
  <c r="DC226" i="36" s="1"/>
  <c r="D26" i="35"/>
  <c r="DC226" i="35" s="1"/>
  <c r="D26" i="34"/>
  <c r="DC226" i="34" s="1"/>
  <c r="D12" i="46"/>
  <c r="DC212" i="46" s="1"/>
  <c r="D12" i="50"/>
  <c r="DC212" i="50" s="1"/>
  <c r="BG64" i="35"/>
  <c r="D72" i="43"/>
  <c r="BG63" i="49"/>
  <c r="DB226" i="34"/>
  <c r="DB227" i="38"/>
  <c r="DB227" i="24"/>
  <c r="DB225" i="37"/>
  <c r="DB225" i="35"/>
  <c r="DB225" i="38"/>
  <c r="AJ64" i="44"/>
  <c r="D23" i="50"/>
  <c r="DC223" i="50" s="1"/>
  <c r="D66" i="49"/>
  <c r="BG64" i="40"/>
  <c r="D25" i="34"/>
  <c r="DC225" i="34" s="1"/>
  <c r="D71" i="43"/>
  <c r="D25" i="35"/>
  <c r="DC225" i="35" s="1"/>
  <c r="D25" i="44"/>
  <c r="DC225" i="44" s="1"/>
  <c r="D71" i="49"/>
  <c r="D17" i="41"/>
  <c r="DC217" i="41" s="1"/>
  <c r="Z30" i="45"/>
  <c r="C27" i="51"/>
  <c r="DB227" i="51" s="1"/>
  <c r="C27" i="35"/>
  <c r="Z30" i="41"/>
  <c r="C73" i="44"/>
  <c r="Z30" i="24"/>
  <c r="BR14" i="41"/>
  <c r="BR14" i="40"/>
  <c r="BS14" i="50"/>
  <c r="C17" i="47"/>
  <c r="DB217" i="47" s="1"/>
  <c r="BR14" i="36"/>
  <c r="BE11" i="40"/>
  <c r="BG55" i="40" s="1"/>
  <c r="Z20" i="46"/>
  <c r="AJ54" i="46" s="1"/>
  <c r="BR14" i="45"/>
  <c r="C17" i="40"/>
  <c r="DB217" i="40" s="1"/>
  <c r="Z20" i="49"/>
  <c r="AJ54" i="49" s="1"/>
  <c r="BE11" i="48"/>
  <c r="BG55" i="48" s="1"/>
  <c r="Z20" i="45"/>
  <c r="AJ54" i="45" s="1"/>
  <c r="Z20" i="36"/>
  <c r="AJ54" i="36" s="1"/>
  <c r="Z20" i="38"/>
  <c r="AJ54" i="38" s="1"/>
  <c r="BE11" i="24"/>
  <c r="BG55" i="24" s="1"/>
  <c r="D25" i="24"/>
  <c r="DC225" i="24" s="1"/>
  <c r="BR24" i="37"/>
  <c r="BR14" i="38"/>
  <c r="BE21" i="43"/>
  <c r="D71" i="46"/>
  <c r="Z30" i="48"/>
  <c r="DB225" i="34"/>
  <c r="DB227" i="36"/>
  <c r="DB226" i="39"/>
  <c r="D20" i="39"/>
  <c r="DC220" i="39" s="1"/>
  <c r="D25" i="38"/>
  <c r="DC225" i="38" s="1"/>
  <c r="D71" i="47"/>
  <c r="D25" i="37"/>
  <c r="DC225" i="37" s="1"/>
  <c r="D71" i="45"/>
  <c r="D25" i="47"/>
  <c r="DC225" i="47" s="1"/>
  <c r="C73" i="49"/>
  <c r="Z30" i="34"/>
  <c r="AJ64" i="34" s="1"/>
  <c r="C73" i="48"/>
  <c r="Z30" i="36"/>
  <c r="Z30" i="49"/>
  <c r="AJ64" i="49" s="1"/>
  <c r="C73" i="43"/>
  <c r="BR14" i="37"/>
  <c r="BR14" i="46"/>
  <c r="C63" i="48"/>
  <c r="C17" i="36"/>
  <c r="DB217" i="36" s="1"/>
  <c r="BR14" i="47"/>
  <c r="BE11" i="49"/>
  <c r="BG55" i="49" s="1"/>
  <c r="Z20" i="47"/>
  <c r="AJ54" i="47" s="1"/>
  <c r="BR14" i="49"/>
  <c r="C17" i="38"/>
  <c r="DB217" i="38" s="1"/>
  <c r="Z20" i="35"/>
  <c r="AJ54" i="35" s="1"/>
  <c r="C63" i="46"/>
  <c r="Z20" i="24"/>
  <c r="AJ54" i="24" s="1"/>
  <c r="BE11" i="34"/>
  <c r="BG53" i="34" s="1"/>
  <c r="Z20" i="43"/>
  <c r="AJ54" i="43" s="1"/>
  <c r="Z20" i="34"/>
  <c r="AJ54" i="34" s="1"/>
  <c r="D23" i="24"/>
  <c r="DC223" i="24" s="1"/>
  <c r="D25" i="36"/>
  <c r="DC225" i="36" s="1"/>
  <c r="BR24" i="38"/>
  <c r="BG63" i="40"/>
  <c r="BE21" i="36"/>
  <c r="D71" i="44"/>
  <c r="BE21" i="45"/>
  <c r="BR24" i="46"/>
  <c r="BE21" i="48"/>
  <c r="BR24" i="49"/>
  <c r="DB225" i="41"/>
  <c r="C27" i="37"/>
  <c r="D12" i="40"/>
  <c r="DC212" i="40" s="1"/>
  <c r="Z16" i="47"/>
  <c r="AJ50" i="47" s="1"/>
  <c r="D58" i="46"/>
  <c r="Z16" i="34"/>
  <c r="AJ50" i="34" s="1"/>
  <c r="Q58" i="47"/>
  <c r="Q58" i="48" s="1"/>
  <c r="AA15" i="48" s="1"/>
  <c r="I64" i="43"/>
  <c r="I64" i="45" s="1"/>
  <c r="N8" i="46"/>
  <c r="D11" i="50"/>
  <c r="DC211" i="50" s="1"/>
  <c r="D64" i="50"/>
  <c r="D63" i="44"/>
  <c r="D20" i="24"/>
  <c r="DC220" i="24" s="1"/>
  <c r="BR14" i="44"/>
  <c r="BE11" i="38"/>
  <c r="BG55" i="38" s="1"/>
  <c r="Z20" i="39"/>
  <c r="AJ54" i="39" s="1"/>
  <c r="Z20" i="48"/>
  <c r="AJ54" i="48" s="1"/>
  <c r="BR14" i="48"/>
  <c r="BE11" i="50"/>
  <c r="BG55" i="50" s="1"/>
  <c r="C63" i="45"/>
  <c r="C17" i="37"/>
  <c r="DB217" i="37" s="1"/>
  <c r="C63" i="47"/>
  <c r="Z20" i="37"/>
  <c r="AJ54" i="37" s="1"/>
  <c r="C17" i="41"/>
  <c r="DB217" i="41" s="1"/>
  <c r="BE11" i="36"/>
  <c r="BG55" i="36" s="1"/>
  <c r="Z20" i="41"/>
  <c r="AJ54" i="41" s="1"/>
  <c r="C17" i="34"/>
  <c r="DB217" i="34" s="1"/>
  <c r="D23" i="36"/>
  <c r="DC223" i="36" s="1"/>
  <c r="D17" i="37"/>
  <c r="DC217" i="37" s="1"/>
  <c r="BR10" i="38"/>
  <c r="D23" i="39"/>
  <c r="DC223" i="39" s="1"/>
  <c r="D23" i="41"/>
  <c r="DC223" i="41" s="1"/>
  <c r="C13" i="45"/>
  <c r="DB213" i="45" s="1"/>
  <c r="D11" i="45"/>
  <c r="DC211" i="45" s="1"/>
  <c r="BA8" i="45"/>
  <c r="D20" i="41"/>
  <c r="DC220" i="41" s="1"/>
  <c r="D23" i="38"/>
  <c r="DC223" i="38" s="1"/>
  <c r="D14" i="38"/>
  <c r="DC214" i="38" s="1"/>
  <c r="D23" i="44"/>
  <c r="DC223" i="44" s="1"/>
  <c r="D23" i="45"/>
  <c r="DC223" i="45" s="1"/>
  <c r="D58" i="47"/>
  <c r="D11" i="48"/>
  <c r="DC211" i="48" s="1"/>
  <c r="BE7" i="37"/>
  <c r="BG51" i="37" s="1"/>
  <c r="D17" i="36"/>
  <c r="DC217" i="36" s="1"/>
  <c r="Z16" i="49"/>
  <c r="AJ50" i="49" s="1"/>
  <c r="D66" i="46"/>
  <c r="D11" i="24"/>
  <c r="DC211" i="24" s="1"/>
  <c r="D11" i="34"/>
  <c r="DC211" i="34" s="1"/>
  <c r="D23" i="35"/>
  <c r="DC223" i="35" s="1"/>
  <c r="D17" i="35"/>
  <c r="DC217" i="35" s="1"/>
  <c r="D14" i="35"/>
  <c r="DC214" i="35" s="1"/>
  <c r="D11" i="35"/>
  <c r="DC211" i="35" s="1"/>
  <c r="D11" i="37"/>
  <c r="DC211" i="37" s="1"/>
  <c r="D23" i="43"/>
  <c r="DC223" i="43" s="1"/>
  <c r="D60" i="44"/>
  <c r="D57" i="44"/>
  <c r="D69" i="47"/>
  <c r="D60" i="47"/>
  <c r="D23" i="47"/>
  <c r="DC223" i="47" s="1"/>
  <c r="C59" i="43"/>
  <c r="C51" i="52"/>
  <c r="D20" i="49"/>
  <c r="DC220" i="49" s="1"/>
  <c r="D11" i="49"/>
  <c r="DC211" i="49" s="1"/>
  <c r="D20" i="45"/>
  <c r="DC220" i="45" s="1"/>
  <c r="D63" i="47"/>
  <c r="D63" i="46"/>
  <c r="D17" i="34"/>
  <c r="DC217" i="34" s="1"/>
  <c r="D17" i="44"/>
  <c r="DC217" i="44" s="1"/>
  <c r="BE7" i="43"/>
  <c r="BG51" i="43" s="1"/>
  <c r="Z16" i="48"/>
  <c r="AJ50" i="48" s="1"/>
  <c r="D20" i="36"/>
  <c r="DC220" i="36" s="1"/>
  <c r="D20" i="47"/>
  <c r="DC220" i="47" s="1"/>
  <c r="M67" i="45"/>
  <c r="M67" i="47" s="1"/>
  <c r="C49" i="52"/>
  <c r="D20" i="48"/>
  <c r="DC220" i="48" s="1"/>
  <c r="D66" i="43"/>
  <c r="D20" i="35"/>
  <c r="DC220" i="35" s="1"/>
  <c r="D11" i="47"/>
  <c r="DC211" i="47" s="1"/>
  <c r="D66" i="50"/>
  <c r="D60" i="49"/>
  <c r="D17" i="47"/>
  <c r="DC217" i="47" s="1"/>
  <c r="D17" i="38"/>
  <c r="DC217" i="38" s="1"/>
  <c r="D17" i="46"/>
  <c r="DC217" i="46" s="1"/>
  <c r="D17" i="39"/>
  <c r="DC217" i="39" s="1"/>
  <c r="D17" i="48"/>
  <c r="DC217" i="48" s="1"/>
  <c r="Z16" i="37"/>
  <c r="AJ50" i="37" s="1"/>
  <c r="C13" i="36"/>
  <c r="DB213" i="36" s="1"/>
  <c r="Z16" i="35"/>
  <c r="AJ50" i="35" s="1"/>
  <c r="D66" i="45"/>
  <c r="D20" i="40"/>
  <c r="DC220" i="40" s="1"/>
  <c r="D20" i="50"/>
  <c r="DC220" i="50" s="1"/>
  <c r="BR10" i="24"/>
  <c r="D14" i="24"/>
  <c r="DC214" i="24" s="1"/>
  <c r="D14" i="34"/>
  <c r="DC214" i="34" s="1"/>
  <c r="BR10" i="34"/>
  <c r="BR10" i="35"/>
  <c r="D14" i="36"/>
  <c r="DC214" i="36" s="1"/>
  <c r="D20" i="37"/>
  <c r="DC220" i="37" s="1"/>
  <c r="D14" i="37"/>
  <c r="DC214" i="37" s="1"/>
  <c r="BR10" i="37"/>
  <c r="D23" i="40"/>
  <c r="DC223" i="40" s="1"/>
  <c r="D14" i="41"/>
  <c r="DC214" i="41" s="1"/>
  <c r="D69" i="43"/>
  <c r="D69" i="44"/>
  <c r="D14" i="45"/>
  <c r="DC214" i="45" s="1"/>
  <c r="D23" i="46"/>
  <c r="DC223" i="46" s="1"/>
  <c r="D11" i="46"/>
  <c r="DC211" i="46" s="1"/>
  <c r="D23" i="48"/>
  <c r="DC223" i="48" s="1"/>
  <c r="D57" i="49"/>
  <c r="D14" i="49"/>
  <c r="DC214" i="49" s="1"/>
  <c r="BE7" i="49"/>
  <c r="BG51" i="49" s="1"/>
  <c r="C59" i="47"/>
  <c r="BE7" i="35"/>
  <c r="BG51" i="35" s="1"/>
  <c r="N8" i="49"/>
  <c r="Z23" i="24"/>
  <c r="AJ57" i="24" s="1"/>
  <c r="D66" i="47"/>
  <c r="D63" i="45"/>
  <c r="N8" i="47"/>
  <c r="D20" i="51"/>
  <c r="DC220" i="51" s="1"/>
  <c r="D57" i="50"/>
  <c r="D69" i="49"/>
  <c r="D20" i="44"/>
  <c r="DC220" i="44" s="1"/>
  <c r="D60" i="50"/>
  <c r="D17" i="45"/>
  <c r="DC217" i="45" s="1"/>
  <c r="D17" i="49"/>
  <c r="DC217" i="49" s="1"/>
  <c r="D63" i="43"/>
  <c r="D17" i="51"/>
  <c r="DC217" i="51" s="1"/>
  <c r="D17" i="40"/>
  <c r="DC217" i="40" s="1"/>
  <c r="D17" i="50"/>
  <c r="DC217" i="50" s="1"/>
  <c r="Z16" i="38"/>
  <c r="AJ50" i="38" s="1"/>
  <c r="C13" i="24"/>
  <c r="DB213" i="24" s="1"/>
  <c r="BE7" i="24"/>
  <c r="BG51" i="24" s="1"/>
  <c r="D20" i="38"/>
  <c r="DC220" i="38" s="1"/>
  <c r="D20" i="46"/>
  <c r="DC220" i="46" s="1"/>
  <c r="D20" i="43"/>
  <c r="DC220" i="43" s="1"/>
  <c r="D66" i="48"/>
  <c r="D23" i="34"/>
  <c r="DC223" i="34" s="1"/>
  <c r="D11" i="36"/>
  <c r="DC211" i="36" s="1"/>
  <c r="D23" i="37"/>
  <c r="DC223" i="37" s="1"/>
  <c r="D11" i="38"/>
  <c r="DC211" i="38" s="1"/>
  <c r="D14" i="39"/>
  <c r="DC214" i="39" s="1"/>
  <c r="D11" i="39"/>
  <c r="DC211" i="39" s="1"/>
  <c r="D11" i="40"/>
  <c r="DC211" i="40" s="1"/>
  <c r="D11" i="41"/>
  <c r="DC211" i="41" s="1"/>
  <c r="D14" i="43"/>
  <c r="DC214" i="43" s="1"/>
  <c r="D11" i="43"/>
  <c r="DC211" i="43" s="1"/>
  <c r="D57" i="43"/>
  <c r="D60" i="43"/>
  <c r="D11" i="44"/>
  <c r="DC211" i="44" s="1"/>
  <c r="D69" i="45"/>
  <c r="D60" i="45"/>
  <c r="D57" i="45"/>
  <c r="D57" i="47"/>
  <c r="D63" i="49"/>
  <c r="D14" i="50"/>
  <c r="DC214" i="50" s="1"/>
  <c r="BS10" i="50"/>
  <c r="C13" i="41"/>
  <c r="DB213" i="41" s="1"/>
  <c r="C59" i="45"/>
  <c r="D15" i="24"/>
  <c r="DC215" i="24" s="1"/>
  <c r="D18" i="35"/>
  <c r="DC218" i="35" s="1"/>
  <c r="BR10" i="40"/>
  <c r="BR10" i="45"/>
  <c r="C13" i="46"/>
  <c r="DB213" i="46" s="1"/>
  <c r="BR10" i="46"/>
  <c r="C13" i="47"/>
  <c r="DB213" i="47" s="1"/>
  <c r="BR10" i="47"/>
  <c r="C13" i="48"/>
  <c r="DB213" i="48" s="1"/>
  <c r="BE7" i="38"/>
  <c r="BG51" i="38" s="1"/>
  <c r="C13" i="50"/>
  <c r="DB213" i="50" s="1"/>
  <c r="BE7" i="50"/>
  <c r="BG51" i="50" s="1"/>
  <c r="C59" i="50"/>
  <c r="C13" i="38"/>
  <c r="DB213" i="38" s="1"/>
  <c r="BE7" i="48"/>
  <c r="BE7" i="46"/>
  <c r="BG51" i="46" s="1"/>
  <c r="BE7" i="44"/>
  <c r="BG51" i="44" s="1"/>
  <c r="Z16" i="39"/>
  <c r="AJ50" i="39" s="1"/>
  <c r="Z16" i="45"/>
  <c r="AJ50" i="45" s="1"/>
  <c r="BE7" i="36"/>
  <c r="BG51" i="36" s="1"/>
  <c r="C13" i="43"/>
  <c r="DB213" i="43" s="1"/>
  <c r="BR10" i="43"/>
  <c r="C13" i="44"/>
  <c r="DB213" i="44" s="1"/>
  <c r="BR10" i="44"/>
  <c r="BR10" i="48"/>
  <c r="BE7" i="39"/>
  <c r="BG51" i="39" s="1"/>
  <c r="C13" i="40"/>
  <c r="DB213" i="40" s="1"/>
  <c r="C13" i="51"/>
  <c r="DB213" i="51" s="1"/>
  <c r="C59" i="49"/>
  <c r="BE7" i="47"/>
  <c r="BG51" i="47" s="1"/>
  <c r="BE7" i="45"/>
  <c r="BG51" i="45" s="1"/>
  <c r="Z16" i="44"/>
  <c r="Z16" i="50"/>
  <c r="AJ50" i="50" s="1"/>
  <c r="C13" i="35"/>
  <c r="DB213" i="35" s="1"/>
  <c r="BA8" i="24"/>
  <c r="BI64" i="24" s="1"/>
  <c r="N54" i="48"/>
  <c r="K74" i="44"/>
  <c r="K74" i="46" s="1"/>
  <c r="W75" i="50"/>
  <c r="DF229" i="50" s="1"/>
  <c r="BJ7" i="24"/>
  <c r="D12" i="51"/>
  <c r="DC212" i="51" s="1"/>
  <c r="Z16" i="43"/>
  <c r="AJ50" i="43" s="1"/>
  <c r="C13" i="34"/>
  <c r="DB213" i="34" s="1"/>
  <c r="BE7" i="34"/>
  <c r="BG49" i="34" s="1"/>
  <c r="D18" i="34"/>
  <c r="DC218" i="34" s="1"/>
  <c r="D15" i="34"/>
  <c r="DC215" i="34" s="1"/>
  <c r="D12" i="34"/>
  <c r="DC212" i="34" s="1"/>
  <c r="BR10" i="36"/>
  <c r="D14" i="40"/>
  <c r="DC214" i="40" s="1"/>
  <c r="BR10" i="41"/>
  <c r="D22" i="43"/>
  <c r="DC222" i="43" s="1"/>
  <c r="D17" i="43"/>
  <c r="DC217" i="43" s="1"/>
  <c r="D14" i="44"/>
  <c r="DC214" i="44" s="1"/>
  <c r="D60" i="46"/>
  <c r="D57" i="46"/>
  <c r="D14" i="46"/>
  <c r="DC214" i="46" s="1"/>
  <c r="D14" i="47"/>
  <c r="DC214" i="47" s="1"/>
  <c r="D60" i="48"/>
  <c r="D57" i="48"/>
  <c r="D22" i="48"/>
  <c r="DC222" i="48" s="1"/>
  <c r="D14" i="48"/>
  <c r="DC214" i="48" s="1"/>
  <c r="C13" i="49"/>
  <c r="DB213" i="49" s="1"/>
  <c r="BR10" i="49"/>
  <c r="BE7" i="41"/>
  <c r="BG51" i="41" s="1"/>
  <c r="BE7" i="40"/>
  <c r="BG51" i="40" s="1"/>
  <c r="C13" i="37"/>
  <c r="DB213" i="37" s="1"/>
  <c r="C13" i="39"/>
  <c r="DB213" i="39" s="1"/>
  <c r="C59" i="48"/>
  <c r="C59" i="46"/>
  <c r="C59" i="44"/>
  <c r="Z16" i="40"/>
  <c r="Z16" i="41"/>
  <c r="AJ50" i="41" s="1"/>
  <c r="Z16" i="36"/>
  <c r="AJ50" i="36" s="1"/>
  <c r="D2" i="24"/>
  <c r="AZ4" i="45"/>
  <c r="D2" i="43"/>
  <c r="DA210" i="3"/>
  <c r="DA232" i="3"/>
  <c r="D2" i="41"/>
  <c r="D2" i="37"/>
  <c r="AZ4" i="24"/>
  <c r="D2" i="48"/>
  <c r="D2" i="40"/>
  <c r="AZ4" i="35"/>
  <c r="D2" i="44"/>
  <c r="D2" i="45"/>
  <c r="D2" i="47"/>
  <c r="D2" i="46"/>
  <c r="D2" i="50"/>
  <c r="D48" i="43"/>
  <c r="AZ4" i="46"/>
  <c r="AZ4" i="39"/>
  <c r="AZ4" i="38"/>
  <c r="D2" i="49"/>
  <c r="P8" i="43"/>
  <c r="BA8" i="38"/>
  <c r="BI64" i="38" s="1"/>
  <c r="Q13" i="38"/>
  <c r="Q13" i="47" s="1"/>
  <c r="C58" i="52"/>
  <c r="N8" i="45"/>
  <c r="N8" i="38"/>
  <c r="C48" i="52"/>
  <c r="S70" i="48"/>
  <c r="S70" i="50" s="1"/>
  <c r="N8" i="40"/>
  <c r="N8" i="43"/>
  <c r="C52" i="52"/>
  <c r="BA8" i="40"/>
  <c r="BI56" i="40" s="1"/>
  <c r="G49" i="44"/>
  <c r="D49" i="50"/>
  <c r="DG216" i="3"/>
  <c r="AA14" i="24"/>
  <c r="AK48" i="24" s="1"/>
  <c r="AL48" i="24" s="1"/>
  <c r="DD211" i="24"/>
  <c r="AA20" i="24"/>
  <c r="DD217" i="24"/>
  <c r="L35" i="3"/>
  <c r="N21" i="3" s="1"/>
  <c r="DG239" i="3"/>
  <c r="Q22" i="50"/>
  <c r="DF222" i="38"/>
  <c r="G49" i="43"/>
  <c r="G3" i="45"/>
  <c r="G3" i="47"/>
  <c r="G49" i="48"/>
  <c r="G3" i="48"/>
  <c r="G49" i="49"/>
  <c r="N76" i="48"/>
  <c r="DE230" i="46"/>
  <c r="T75" i="50"/>
  <c r="DE229" i="49"/>
  <c r="G3" i="34"/>
  <c r="U59" i="50"/>
  <c r="AA16" i="50" s="1"/>
  <c r="AK50" i="50" s="1"/>
  <c r="AL50" i="50" s="1"/>
  <c r="DF213" i="49"/>
  <c r="H75" i="50"/>
  <c r="DE229" i="43"/>
  <c r="H76" i="44"/>
  <c r="DE230" i="43"/>
  <c r="G3" i="38"/>
  <c r="G3" i="39"/>
  <c r="G3" i="41"/>
  <c r="G3" i="43"/>
  <c r="G3" i="44"/>
  <c r="G49" i="46"/>
  <c r="G49" i="47"/>
  <c r="G3" i="49"/>
  <c r="G3" i="50"/>
  <c r="G3" i="51"/>
  <c r="T76" i="50"/>
  <c r="DE230" i="49"/>
  <c r="F30" i="49"/>
  <c r="DE230" i="24"/>
  <c r="K73" i="45"/>
  <c r="AA30" i="45" s="1"/>
  <c r="AC30" i="45" s="1"/>
  <c r="DF227" i="44"/>
  <c r="O63" i="48"/>
  <c r="DF217" i="46"/>
  <c r="G3" i="24"/>
  <c r="G3" i="36"/>
  <c r="G3" i="37"/>
  <c r="G3" i="46"/>
  <c r="DE229" i="41"/>
  <c r="J75" i="49"/>
  <c r="DE229" i="44"/>
  <c r="B31" i="52"/>
  <c r="H7" i="45"/>
  <c r="H7" i="44"/>
  <c r="H7" i="41"/>
  <c r="H7" i="36"/>
  <c r="B34" i="52"/>
  <c r="H7" i="38"/>
  <c r="H7" i="35"/>
  <c r="B32" i="52"/>
  <c r="B30" i="52"/>
  <c r="B33" i="52"/>
  <c r="H7" i="43"/>
  <c r="H7" i="48"/>
  <c r="H7" i="46"/>
  <c r="H7" i="39"/>
  <c r="H8" i="34"/>
  <c r="H7" i="37"/>
  <c r="B35" i="52"/>
  <c r="H7" i="50"/>
  <c r="H7" i="49"/>
  <c r="H7" i="47"/>
  <c r="H7" i="40"/>
  <c r="BG26" i="34"/>
  <c r="BI67" i="34" s="1"/>
  <c r="E62" i="52"/>
  <c r="E110" i="52"/>
  <c r="E111" i="52" s="1"/>
  <c r="BG66" i="34"/>
  <c r="AM40" i="34"/>
  <c r="BC31" i="34"/>
  <c r="BY1" i="34"/>
  <c r="D3" i="34"/>
  <c r="D3" i="35"/>
  <c r="D3" i="37"/>
  <c r="D3" i="45"/>
  <c r="D3" i="48"/>
  <c r="D3" i="49"/>
  <c r="D3" i="38"/>
  <c r="D49" i="43"/>
  <c r="D49" i="45"/>
  <c r="D3" i="46"/>
  <c r="D49" i="47"/>
  <c r="D49" i="49"/>
  <c r="D3" i="36"/>
  <c r="D3" i="40"/>
  <c r="D3" i="41"/>
  <c r="D49" i="44"/>
  <c r="D3" i="44"/>
  <c r="D49" i="46"/>
  <c r="D3" i="47"/>
  <c r="D12" i="48"/>
  <c r="DC212" i="48" s="1"/>
  <c r="D18" i="50"/>
  <c r="DC218" i="50" s="1"/>
  <c r="D18" i="24"/>
  <c r="DC218" i="24" s="1"/>
  <c r="D12" i="39"/>
  <c r="DC212" i="39" s="1"/>
  <c r="D18" i="40"/>
  <c r="DC218" i="40" s="1"/>
  <c r="D58" i="50"/>
  <c r="D15" i="36"/>
  <c r="DC215" i="36" s="1"/>
  <c r="D12" i="41"/>
  <c r="DC212" i="41" s="1"/>
  <c r="D12" i="43"/>
  <c r="DC212" i="43" s="1"/>
  <c r="D15" i="44"/>
  <c r="DC215" i="44" s="1"/>
  <c r="D12" i="44"/>
  <c r="DC212" i="44" s="1"/>
  <c r="D58" i="48"/>
  <c r="D58" i="45"/>
  <c r="D12" i="24"/>
  <c r="DC212" i="24" s="1"/>
  <c r="D58" i="44"/>
  <c r="D12" i="38"/>
  <c r="DC212" i="38" s="1"/>
  <c r="D12" i="49"/>
  <c r="DC212" i="49" s="1"/>
  <c r="D12" i="45"/>
  <c r="DC212" i="45" s="1"/>
  <c r="D12" i="35"/>
  <c r="DC212" i="35" s="1"/>
  <c r="D64" i="49"/>
  <c r="D18" i="44"/>
  <c r="DC218" i="44" s="1"/>
  <c r="C55" i="52"/>
  <c r="S73" i="48"/>
  <c r="W71" i="50"/>
  <c r="DF225" i="50" s="1"/>
  <c r="C94" i="52"/>
  <c r="N8" i="39"/>
  <c r="N8" i="50"/>
  <c r="N8" i="48"/>
  <c r="C50" i="52"/>
  <c r="Z25" i="41"/>
  <c r="AJ59" i="41" s="1"/>
  <c r="BE16" i="24"/>
  <c r="BG60" i="24" s="1"/>
  <c r="BR16" i="35"/>
  <c r="BR19" i="38"/>
  <c r="BR16" i="40"/>
  <c r="C19" i="43"/>
  <c r="DB219" i="43" s="1"/>
  <c r="BR19" i="44"/>
  <c r="C22" i="46"/>
  <c r="DB222" i="46" s="1"/>
  <c r="C19" i="46"/>
  <c r="DB219" i="46" s="1"/>
  <c r="BR16" i="46"/>
  <c r="C22" i="47"/>
  <c r="DB222" i="47" s="1"/>
  <c r="C19" i="47"/>
  <c r="DB219" i="47" s="1"/>
  <c r="BR16" i="47"/>
  <c r="BR16" i="48"/>
  <c r="BE16" i="37"/>
  <c r="BG60" i="37" s="1"/>
  <c r="C22" i="50"/>
  <c r="DB222" i="50" s="1"/>
  <c r="BE13" i="39"/>
  <c r="BG57" i="39" s="1"/>
  <c r="C22" i="41"/>
  <c r="DB222" i="41" s="1"/>
  <c r="C22" i="40"/>
  <c r="DB222" i="40" s="1"/>
  <c r="C22" i="37"/>
  <c r="DB222" i="37" s="1"/>
  <c r="C19" i="38"/>
  <c r="DB219" i="38" s="1"/>
  <c r="C68" i="49"/>
  <c r="BE13" i="48"/>
  <c r="BG57" i="48" s="1"/>
  <c r="BE13" i="47"/>
  <c r="BG57" i="47" s="1"/>
  <c r="BE16" i="47"/>
  <c r="BG60" i="47" s="1"/>
  <c r="BE16" i="46"/>
  <c r="BG60" i="46" s="1"/>
  <c r="BE13" i="45"/>
  <c r="BG57" i="45" s="1"/>
  <c r="BE13" i="43"/>
  <c r="BG57" i="43" s="1"/>
  <c r="Z22" i="37"/>
  <c r="AJ56" i="37" s="1"/>
  <c r="Z25" i="39"/>
  <c r="AJ59" i="39" s="1"/>
  <c r="Z22" i="40"/>
  <c r="AJ56" i="40" s="1"/>
  <c r="Z22" i="46"/>
  <c r="AJ56" i="46" s="1"/>
  <c r="Z22" i="47"/>
  <c r="AJ56" i="47" s="1"/>
  <c r="Z22" i="49"/>
  <c r="AJ56" i="49" s="1"/>
  <c r="Z25" i="50"/>
  <c r="AJ59" i="50" s="1"/>
  <c r="BE13" i="35"/>
  <c r="BG57" i="35" s="1"/>
  <c r="Z22" i="35"/>
  <c r="AJ56" i="35" s="1"/>
  <c r="Z22" i="34"/>
  <c r="AJ56" i="34" s="1"/>
  <c r="C57" i="52"/>
  <c r="S72" i="48"/>
  <c r="DF226" i="48" s="1"/>
  <c r="N8" i="41"/>
  <c r="N8" i="44"/>
  <c r="O30" i="37"/>
  <c r="O30" i="39" s="1"/>
  <c r="Z25" i="48"/>
  <c r="AJ59" i="48" s="1"/>
  <c r="Z25" i="45"/>
  <c r="AJ59" i="45" s="1"/>
  <c r="BR16" i="24"/>
  <c r="BR19" i="24"/>
  <c r="BR19" i="36"/>
  <c r="BR16" i="37"/>
  <c r="BR19" i="41"/>
  <c r="BR16" i="43"/>
  <c r="C22" i="45"/>
  <c r="DB222" i="45" s="1"/>
  <c r="C19" i="45"/>
  <c r="DB219" i="45" s="1"/>
  <c r="BR19" i="48"/>
  <c r="C22" i="49"/>
  <c r="DB222" i="49" s="1"/>
  <c r="BR19" i="49"/>
  <c r="BE16" i="38"/>
  <c r="BG60" i="38" s="1"/>
  <c r="BE13" i="41"/>
  <c r="BG57" i="41" s="1"/>
  <c r="BE13" i="40"/>
  <c r="BG57" i="40" s="1"/>
  <c r="C19" i="40"/>
  <c r="DB219" i="40" s="1"/>
  <c r="C19" i="37"/>
  <c r="DB219" i="37" s="1"/>
  <c r="BE13" i="49"/>
  <c r="BG57" i="49" s="1"/>
  <c r="C68" i="48"/>
  <c r="BE13" i="46"/>
  <c r="BG57" i="46" s="1"/>
  <c r="BE13" i="44"/>
  <c r="BG57" i="44" s="1"/>
  <c r="BE16" i="44"/>
  <c r="BG60" i="44" s="1"/>
  <c r="Z22" i="38"/>
  <c r="AJ56" i="38" s="1"/>
  <c r="Z22" i="39"/>
  <c r="AJ56" i="39" s="1"/>
  <c r="Z22" i="41"/>
  <c r="Z25" i="44"/>
  <c r="AJ59" i="44" s="1"/>
  <c r="Z22" i="48"/>
  <c r="AJ56" i="48" s="1"/>
  <c r="C22" i="34"/>
  <c r="DB222" i="34" s="1"/>
  <c r="BE13" i="36"/>
  <c r="BG57" i="36" s="1"/>
  <c r="Z25" i="36"/>
  <c r="AJ59" i="36" s="1"/>
  <c r="Z25" i="35"/>
  <c r="AJ59" i="35" s="1"/>
  <c r="C22" i="35"/>
  <c r="DB222" i="35" s="1"/>
  <c r="BR19" i="35"/>
  <c r="BR16" i="36"/>
  <c r="BR19" i="37"/>
  <c r="BR19" i="39"/>
  <c r="BR16" i="39"/>
  <c r="BR19" i="40"/>
  <c r="C22" i="43"/>
  <c r="DB222" i="43" s="1"/>
  <c r="BR19" i="43"/>
  <c r="C19" i="44"/>
  <c r="DB219" i="44" s="1"/>
  <c r="BR16" i="45"/>
  <c r="BR19" i="46"/>
  <c r="BR19" i="47"/>
  <c r="BR16" i="49"/>
  <c r="BE16" i="39"/>
  <c r="BG60" i="39" s="1"/>
  <c r="BE16" i="35"/>
  <c r="BG60" i="35" s="1"/>
  <c r="BS19" i="50"/>
  <c r="BE13" i="37"/>
  <c r="BG57" i="37" s="1"/>
  <c r="BS16" i="50"/>
  <c r="BE13" i="50"/>
  <c r="BG57" i="50" s="1"/>
  <c r="BE16" i="50"/>
  <c r="BE16" i="40"/>
  <c r="BG60" i="40" s="1"/>
  <c r="C68" i="50"/>
  <c r="C19" i="41"/>
  <c r="DB219" i="41" s="1"/>
  <c r="C22" i="39"/>
  <c r="DB222" i="39" s="1"/>
  <c r="BE16" i="49"/>
  <c r="BG60" i="49" s="1"/>
  <c r="C65" i="48"/>
  <c r="C65" i="47"/>
  <c r="C65" i="45"/>
  <c r="C65" i="43"/>
  <c r="Z22" i="44"/>
  <c r="AJ56" i="44" s="1"/>
  <c r="Z22" i="45"/>
  <c r="AJ56" i="45" s="1"/>
  <c r="Z22" i="50"/>
  <c r="C19" i="35"/>
  <c r="DB219" i="35" s="1"/>
  <c r="C19" i="34"/>
  <c r="DB219" i="34" s="1"/>
  <c r="BE13" i="24"/>
  <c r="BG57" i="24" s="1"/>
  <c r="E34" i="49"/>
  <c r="E34" i="45"/>
  <c r="E34" i="36"/>
  <c r="E34" i="39"/>
  <c r="E34" i="47"/>
  <c r="E34" i="50"/>
  <c r="E34" i="46"/>
  <c r="E34" i="38"/>
  <c r="E34" i="37"/>
  <c r="E34" i="40"/>
  <c r="E34" i="44"/>
  <c r="E51" i="52"/>
  <c r="E47" i="52"/>
  <c r="E15" i="52"/>
  <c r="E16" i="52" s="1"/>
  <c r="E14" i="52"/>
  <c r="E123" i="52"/>
  <c r="E125" i="52"/>
  <c r="E113" i="52"/>
  <c r="E38" i="52"/>
  <c r="E68" i="52"/>
  <c r="E116" i="52"/>
  <c r="E32" i="52"/>
  <c r="E80" i="52"/>
  <c r="BG63" i="41"/>
  <c r="A47" i="45"/>
  <c r="A47" i="47"/>
  <c r="A1" i="45"/>
  <c r="AJ62" i="38"/>
  <c r="AJ62" i="46"/>
  <c r="O61" i="46"/>
  <c r="BG65" i="43"/>
  <c r="P8" i="46"/>
  <c r="Q28" i="38"/>
  <c r="Q28" i="50" s="1"/>
  <c r="C56" i="52"/>
  <c r="S68" i="48"/>
  <c r="H54" i="50"/>
  <c r="I74" i="43"/>
  <c r="I74" i="50" s="1"/>
  <c r="O72" i="46"/>
  <c r="AJ67" i="24"/>
  <c r="AJ67" i="43"/>
  <c r="BI68" i="40"/>
  <c r="L76" i="45"/>
  <c r="BI67" i="48"/>
  <c r="BR21" i="36"/>
  <c r="D30" i="51"/>
  <c r="DC230" i="51" s="1"/>
  <c r="D30" i="50"/>
  <c r="DC230" i="50" s="1"/>
  <c r="D76" i="49"/>
  <c r="D76" i="46"/>
  <c r="D30" i="45"/>
  <c r="DC230" i="45" s="1"/>
  <c r="D30" i="43"/>
  <c r="DC230" i="43" s="1"/>
  <c r="D30" i="38"/>
  <c r="DC230" i="38" s="1"/>
  <c r="D30" i="37"/>
  <c r="DC230" i="37" s="1"/>
  <c r="D76" i="50"/>
  <c r="D30" i="49"/>
  <c r="DC230" i="49" s="1"/>
  <c r="D30" i="48"/>
  <c r="DC230" i="48" s="1"/>
  <c r="D76" i="45"/>
  <c r="D30" i="39"/>
  <c r="DC230" i="39" s="1"/>
  <c r="D26" i="51"/>
  <c r="DC226" i="51" s="1"/>
  <c r="D72" i="50"/>
  <c r="D26" i="48"/>
  <c r="DC226" i="48" s="1"/>
  <c r="D26" i="47"/>
  <c r="DC226" i="47" s="1"/>
  <c r="D26" i="44"/>
  <c r="DC226" i="44" s="1"/>
  <c r="D26" i="43"/>
  <c r="DC226" i="43" s="1"/>
  <c r="D26" i="41"/>
  <c r="DC226" i="41" s="1"/>
  <c r="D26" i="39"/>
  <c r="DC226" i="39" s="1"/>
  <c r="D26" i="37"/>
  <c r="DC226" i="37" s="1"/>
  <c r="D72" i="48"/>
  <c r="D72" i="47"/>
  <c r="D72" i="46"/>
  <c r="D18" i="51"/>
  <c r="DC218" i="51" s="1"/>
  <c r="D64" i="44"/>
  <c r="D18" i="41"/>
  <c r="DC218" i="41" s="1"/>
  <c r="D18" i="39"/>
  <c r="DC218" i="39" s="1"/>
  <c r="D18" i="38"/>
  <c r="DC218" i="38" s="1"/>
  <c r="D18" i="36"/>
  <c r="DC218" i="36" s="1"/>
  <c r="D64" i="47"/>
  <c r="D61" i="49"/>
  <c r="D15" i="49"/>
  <c r="DC215" i="49" s="1"/>
  <c r="D61" i="44"/>
  <c r="D61" i="43"/>
  <c r="D15" i="37"/>
  <c r="DC215" i="37" s="1"/>
  <c r="D15" i="35"/>
  <c r="DC215" i="35" s="1"/>
  <c r="D15" i="47"/>
  <c r="DC215" i="47" s="1"/>
  <c r="D15" i="38"/>
  <c r="DC215" i="38" s="1"/>
  <c r="D58" i="49"/>
  <c r="D58" i="43"/>
  <c r="D12" i="37"/>
  <c r="DC212" i="37" s="1"/>
  <c r="D12" i="36"/>
  <c r="DC212" i="36" s="1"/>
  <c r="D12" i="47"/>
  <c r="DC212" i="47" s="1"/>
  <c r="AJ66" i="37"/>
  <c r="AE32" i="37"/>
  <c r="AF32" i="37" s="1"/>
  <c r="AG32" i="37" s="1"/>
  <c r="H29" i="34"/>
  <c r="BJ23" i="34"/>
  <c r="BJ24" i="38"/>
  <c r="BG63" i="46"/>
  <c r="BI68" i="50"/>
  <c r="Q21" i="38"/>
  <c r="DF221" i="38" s="1"/>
  <c r="Q19" i="38"/>
  <c r="Q19" i="44" s="1"/>
  <c r="S71" i="48"/>
  <c r="I61" i="43"/>
  <c r="I76" i="43"/>
  <c r="DF230" i="43" s="1"/>
  <c r="AJ67" i="45"/>
  <c r="BG64" i="24"/>
  <c r="BG64" i="43"/>
  <c r="BG68" i="44"/>
  <c r="AJ66" i="40"/>
  <c r="BR24" i="39"/>
  <c r="BR24" i="41"/>
  <c r="BE21" i="38"/>
  <c r="BE21" i="34"/>
  <c r="C15" i="43"/>
  <c r="DB215" i="43" s="1"/>
  <c r="C27" i="44"/>
  <c r="DB227" i="44" s="1"/>
  <c r="BR12" i="46"/>
  <c r="C27" i="47"/>
  <c r="DB227" i="47" s="1"/>
  <c r="C27" i="48"/>
  <c r="DB227" i="48" s="1"/>
  <c r="BE21" i="50"/>
  <c r="BE9" i="41"/>
  <c r="BG53" i="41" s="1"/>
  <c r="BA8" i="39"/>
  <c r="C15" i="37"/>
  <c r="DB215" i="37" s="1"/>
  <c r="C15" i="38"/>
  <c r="DB215" i="38" s="1"/>
  <c r="C27" i="39"/>
  <c r="DB227" i="39" s="1"/>
  <c r="C61" i="49"/>
  <c r="BE9" i="47"/>
  <c r="BG53" i="47" s="1"/>
  <c r="C73" i="46"/>
  <c r="C73" i="45"/>
  <c r="Z18" i="39"/>
  <c r="AJ52" i="39" s="1"/>
  <c r="Z30" i="40"/>
  <c r="BE9" i="34"/>
  <c r="BG51" i="34" s="1"/>
  <c r="BR24" i="40"/>
  <c r="BE21" i="39"/>
  <c r="BI65" i="39" s="1"/>
  <c r="BE21" i="35"/>
  <c r="BE21" i="24"/>
  <c r="BR24" i="43"/>
  <c r="BR12" i="43"/>
  <c r="BE21" i="41"/>
  <c r="BR24" i="44"/>
  <c r="BE21" i="44"/>
  <c r="BR12" i="44"/>
  <c r="C27" i="46"/>
  <c r="DB227" i="46" s="1"/>
  <c r="BR24" i="47"/>
  <c r="BE21" i="47"/>
  <c r="C15" i="47"/>
  <c r="DB215" i="47" s="1"/>
  <c r="BR24" i="48"/>
  <c r="C15" i="48"/>
  <c r="DB215" i="48" s="1"/>
  <c r="C27" i="49"/>
  <c r="DB227" i="49" s="1"/>
  <c r="BE21" i="49"/>
  <c r="BS24" i="50"/>
  <c r="BE9" i="37"/>
  <c r="BG53" i="37" s="1"/>
  <c r="C15" i="50"/>
  <c r="DB215" i="50" s="1"/>
  <c r="BE9" i="50"/>
  <c r="C73" i="50"/>
  <c r="C15" i="41"/>
  <c r="DB215" i="41" s="1"/>
  <c r="C27" i="40"/>
  <c r="DB227" i="40" s="1"/>
  <c r="C15" i="39"/>
  <c r="DB215" i="39" s="1"/>
  <c r="C15" i="51"/>
  <c r="DB215" i="51" s="1"/>
  <c r="C61" i="48"/>
  <c r="C61" i="46"/>
  <c r="BA8" i="46"/>
  <c r="BI63" i="46" s="1"/>
  <c r="BE9" i="45"/>
  <c r="BG53" i="45" s="1"/>
  <c r="C61" i="44"/>
  <c r="C61" i="43"/>
  <c r="BA8" i="43"/>
  <c r="BI63" i="43" s="1"/>
  <c r="BA8" i="35"/>
  <c r="BI64" i="35" s="1"/>
  <c r="Q77" i="47"/>
  <c r="AJ64" i="36"/>
  <c r="BG63" i="43"/>
  <c r="BI65" i="40"/>
  <c r="BG65" i="40"/>
  <c r="BI63" i="38"/>
  <c r="BG63" i="38"/>
  <c r="BG67" i="50"/>
  <c r="BI67" i="50"/>
  <c r="AJ62" i="48"/>
  <c r="BE22" i="46"/>
  <c r="BE22" i="37"/>
  <c r="BI66" i="37" s="1"/>
  <c r="BR25" i="49"/>
  <c r="Z23" i="39"/>
  <c r="AJ57" i="39" s="1"/>
  <c r="C20" i="49"/>
  <c r="DB220" i="49" s="1"/>
  <c r="BR17" i="44"/>
  <c r="C20" i="44"/>
  <c r="DB220" i="44" s="1"/>
  <c r="Z23" i="48"/>
  <c r="AJ57" i="48" s="1"/>
  <c r="BR17" i="45"/>
  <c r="C20" i="45"/>
  <c r="DB220" i="45" s="1"/>
  <c r="C20" i="43"/>
  <c r="DB220" i="43" s="1"/>
  <c r="BR17" i="41"/>
  <c r="BR17" i="40"/>
  <c r="BR17" i="34"/>
  <c r="K62" i="44"/>
  <c r="K62" i="45" s="1"/>
  <c r="AA19" i="45" s="1"/>
  <c r="AK53" i="45" s="1"/>
  <c r="AL53" i="45" s="1"/>
  <c r="C104" i="52"/>
  <c r="BG65" i="39"/>
  <c r="AJ63" i="36"/>
  <c r="BI68" i="24"/>
  <c r="BG68" i="24"/>
  <c r="BG67" i="44"/>
  <c r="BI67" i="44"/>
  <c r="BI68" i="49"/>
  <c r="BG68" i="49"/>
  <c r="BE22" i="49"/>
  <c r="AZ4" i="41"/>
  <c r="AZ4" i="36"/>
  <c r="AZ4" i="43"/>
  <c r="AZ4" i="48"/>
  <c r="AZ4" i="37"/>
  <c r="AZ4" i="34"/>
  <c r="D2" i="36"/>
  <c r="D48" i="45"/>
  <c r="D48" i="48"/>
  <c r="D2" i="34"/>
  <c r="D48" i="44"/>
  <c r="AZ4" i="49"/>
  <c r="D2" i="39"/>
  <c r="D48" i="47"/>
  <c r="D2" i="35"/>
  <c r="AZ4" i="40"/>
  <c r="AZ4" i="44"/>
  <c r="AZ4" i="47"/>
  <c r="D2" i="38"/>
  <c r="D48" i="46"/>
  <c r="D48" i="49"/>
  <c r="AZ4" i="50"/>
  <c r="AK66" i="24"/>
  <c r="AL66" i="24" s="1"/>
  <c r="AC32" i="24"/>
  <c r="BJ19" i="24"/>
  <c r="Z23" i="35"/>
  <c r="AJ57" i="35" s="1"/>
  <c r="BG63" i="36"/>
  <c r="C24" i="46"/>
  <c r="DB224" i="46" s="1"/>
  <c r="Z27" i="41"/>
  <c r="C24" i="38"/>
  <c r="DB224" i="38" s="1"/>
  <c r="C24" i="51"/>
  <c r="DB224" i="51" s="1"/>
  <c r="BR21" i="39"/>
  <c r="Z27" i="24"/>
  <c r="U60" i="49"/>
  <c r="U57" i="49"/>
  <c r="Z31" i="24"/>
  <c r="M64" i="45"/>
  <c r="C93" i="52"/>
  <c r="M70" i="45"/>
  <c r="C123" i="52"/>
  <c r="W64" i="50"/>
  <c r="DF218" i="50" s="1"/>
  <c r="AJ64" i="41"/>
  <c r="BG65" i="35"/>
  <c r="BG63" i="44"/>
  <c r="BI63" i="35"/>
  <c r="BG63" i="35"/>
  <c r="D73" i="49"/>
  <c r="D27" i="41"/>
  <c r="DC227" i="41" s="1"/>
  <c r="D27" i="39"/>
  <c r="DC227" i="39" s="1"/>
  <c r="D27" i="34"/>
  <c r="DC227" i="34" s="1"/>
  <c r="D73" i="44"/>
  <c r="D73" i="43"/>
  <c r="D27" i="50"/>
  <c r="DC227" i="50" s="1"/>
  <c r="D27" i="46"/>
  <c r="DC227" i="46" s="1"/>
  <c r="D27" i="35"/>
  <c r="DC227" i="35" s="1"/>
  <c r="D27" i="45"/>
  <c r="DC227" i="45" s="1"/>
  <c r="D27" i="36"/>
  <c r="DC227" i="36" s="1"/>
  <c r="D73" i="50"/>
  <c r="D73" i="45"/>
  <c r="D27" i="51"/>
  <c r="DC227" i="51" s="1"/>
  <c r="D27" i="40"/>
  <c r="DC227" i="40" s="1"/>
  <c r="D27" i="24"/>
  <c r="DC227" i="24" s="1"/>
  <c r="D24" i="50"/>
  <c r="DC224" i="50" s="1"/>
  <c r="D24" i="35"/>
  <c r="DC224" i="35" s="1"/>
  <c r="D24" i="40"/>
  <c r="DC224" i="40" s="1"/>
  <c r="D70" i="45"/>
  <c r="D70" i="43"/>
  <c r="D24" i="49"/>
  <c r="DC224" i="49" s="1"/>
  <c r="D24" i="48"/>
  <c r="DC224" i="48" s="1"/>
  <c r="D24" i="43"/>
  <c r="DC224" i="43" s="1"/>
  <c r="D24" i="37"/>
  <c r="DC224" i="37" s="1"/>
  <c r="D70" i="50"/>
  <c r="D24" i="44"/>
  <c r="DC224" i="44" s="1"/>
  <c r="D24" i="51"/>
  <c r="DC224" i="51" s="1"/>
  <c r="D67" i="45"/>
  <c r="D21" i="43"/>
  <c r="DC221" i="43" s="1"/>
  <c r="D67" i="46"/>
  <c r="D21" i="36"/>
  <c r="DC221" i="36" s="1"/>
  <c r="D21" i="34"/>
  <c r="DC221" i="34" s="1"/>
  <c r="D21" i="49"/>
  <c r="DC221" i="49" s="1"/>
  <c r="D21" i="39"/>
  <c r="DC221" i="39" s="1"/>
  <c r="D21" i="45"/>
  <c r="DC221" i="45" s="1"/>
  <c r="D21" i="51"/>
  <c r="DC221" i="51" s="1"/>
  <c r="D67" i="44"/>
  <c r="D67" i="47"/>
  <c r="D21" i="37"/>
  <c r="DC221" i="37" s="1"/>
  <c r="D21" i="44"/>
  <c r="DC221" i="44" s="1"/>
  <c r="D67" i="48"/>
  <c r="D19" i="51"/>
  <c r="DC219" i="51" s="1"/>
  <c r="D65" i="50"/>
  <c r="D65" i="48"/>
  <c r="D19" i="38"/>
  <c r="DC219" i="38" s="1"/>
  <c r="D19" i="37"/>
  <c r="DC219" i="37" s="1"/>
  <c r="D19" i="35"/>
  <c r="DC219" i="35" s="1"/>
  <c r="D19" i="34"/>
  <c r="DC219" i="34" s="1"/>
  <c r="D19" i="49"/>
  <c r="DC219" i="49" s="1"/>
  <c r="D19" i="47"/>
  <c r="DC219" i="47" s="1"/>
  <c r="D65" i="47"/>
  <c r="D19" i="46"/>
  <c r="DC219" i="46" s="1"/>
  <c r="D65" i="45"/>
  <c r="D19" i="44"/>
  <c r="DC219" i="44" s="1"/>
  <c r="D19" i="36"/>
  <c r="DC219" i="36" s="1"/>
  <c r="D19" i="24"/>
  <c r="DC219" i="24" s="1"/>
  <c r="D19" i="48"/>
  <c r="DC219" i="48" s="1"/>
  <c r="D65" i="46"/>
  <c r="D19" i="45"/>
  <c r="DC219" i="45" s="1"/>
  <c r="D65" i="43"/>
  <c r="D19" i="43"/>
  <c r="DC219" i="43" s="1"/>
  <c r="D19" i="40"/>
  <c r="DC219" i="40" s="1"/>
  <c r="D19" i="39"/>
  <c r="DC219" i="39" s="1"/>
  <c r="AJ62" i="40"/>
  <c r="BG64" i="36"/>
  <c r="BG67" i="45"/>
  <c r="AJ63" i="45"/>
  <c r="BE13" i="34"/>
  <c r="BG55" i="34" s="1"/>
  <c r="C19" i="24"/>
  <c r="DB219" i="24" s="1"/>
  <c r="O75" i="46"/>
  <c r="O75" i="47" s="1"/>
  <c r="AA32" i="47" s="1"/>
  <c r="AC32" i="47" s="1"/>
  <c r="C97" i="52"/>
  <c r="BJ24" i="43"/>
  <c r="BG58" i="34"/>
  <c r="AJ63" i="48"/>
  <c r="AJ62" i="36"/>
  <c r="BI67" i="38"/>
  <c r="BG67" i="38"/>
  <c r="BG65" i="36"/>
  <c r="BG63" i="47"/>
  <c r="BJ24" i="41"/>
  <c r="V30" i="41"/>
  <c r="V30" i="48" s="1"/>
  <c r="AJ62" i="47"/>
  <c r="AE32" i="50"/>
  <c r="AF32" i="50" s="1"/>
  <c r="AG32" i="50" s="1"/>
  <c r="AJ66" i="50"/>
  <c r="L29" i="36"/>
  <c r="L29" i="48" s="1"/>
  <c r="BJ23" i="36"/>
  <c r="AK63" i="24"/>
  <c r="AL63" i="24" s="1"/>
  <c r="AC29" i="24"/>
  <c r="AK62" i="24"/>
  <c r="AL62" i="24" s="1"/>
  <c r="AC28" i="24"/>
  <c r="BJ20" i="24"/>
  <c r="AJ67" i="35"/>
  <c r="AE33" i="35"/>
  <c r="AF33" i="35" s="1"/>
  <c r="AG33" i="35" s="1"/>
  <c r="BI68" i="39"/>
  <c r="BG68" i="39"/>
  <c r="BI67" i="39"/>
  <c r="BG67" i="39"/>
  <c r="BI68" i="41"/>
  <c r="BG68" i="41"/>
  <c r="BG65" i="46"/>
  <c r="BI65" i="46"/>
  <c r="BI64" i="46"/>
  <c r="BG64" i="46"/>
  <c r="L75" i="45"/>
  <c r="L75" i="48" s="1"/>
  <c r="BJ23" i="45"/>
  <c r="BG64" i="38"/>
  <c r="D62" i="50"/>
  <c r="D62" i="49"/>
  <c r="D16" i="46"/>
  <c r="DC216" i="46" s="1"/>
  <c r="D16" i="41"/>
  <c r="DC216" i="41" s="1"/>
  <c r="D62" i="48"/>
  <c r="D16" i="39"/>
  <c r="DC216" i="39" s="1"/>
  <c r="D62" i="43"/>
  <c r="D62" i="46"/>
  <c r="D16" i="38"/>
  <c r="DC216" i="38" s="1"/>
  <c r="D16" i="35"/>
  <c r="DC216" i="35" s="1"/>
  <c r="D16" i="50"/>
  <c r="DC216" i="50" s="1"/>
  <c r="D16" i="37"/>
  <c r="DC216" i="37" s="1"/>
  <c r="Z31" i="34"/>
  <c r="Z31" i="36"/>
  <c r="C28" i="24"/>
  <c r="DB228" i="24" s="1"/>
  <c r="Z31" i="48"/>
  <c r="Z31" i="40"/>
  <c r="AJ65" i="40" s="1"/>
  <c r="Z31" i="37"/>
  <c r="C74" i="45"/>
  <c r="C28" i="40"/>
  <c r="DB228" i="40" s="1"/>
  <c r="C28" i="41"/>
  <c r="DB228" i="41" s="1"/>
  <c r="BE22" i="48"/>
  <c r="BR25" i="48"/>
  <c r="C28" i="47"/>
  <c r="DB228" i="47" s="1"/>
  <c r="BR25" i="46"/>
  <c r="C28" i="46"/>
  <c r="DB228" i="46" s="1"/>
  <c r="BE22" i="45"/>
  <c r="BR25" i="45"/>
  <c r="BE22" i="44"/>
  <c r="BR25" i="44"/>
  <c r="Z31" i="35"/>
  <c r="C28" i="34"/>
  <c r="DB228" i="34" s="1"/>
  <c r="Z31" i="50"/>
  <c r="Z31" i="49"/>
  <c r="Z31" i="46"/>
  <c r="Z31" i="44"/>
  <c r="Z31" i="43"/>
  <c r="Z31" i="41"/>
  <c r="Z31" i="39"/>
  <c r="C74" i="43"/>
  <c r="C74" i="46"/>
  <c r="C74" i="47"/>
  <c r="C74" i="49"/>
  <c r="C28" i="36"/>
  <c r="DB228" i="36" s="1"/>
  <c r="C28" i="35"/>
  <c r="DB228" i="35" s="1"/>
  <c r="Z31" i="47"/>
  <c r="AE31" i="47" s="1"/>
  <c r="AF31" i="47" s="1"/>
  <c r="AG31" i="47" s="1"/>
  <c r="Z31" i="45"/>
  <c r="C74" i="48"/>
  <c r="C28" i="51"/>
  <c r="DB228" i="51" s="1"/>
  <c r="C28" i="38"/>
  <c r="DB228" i="38" s="1"/>
  <c r="C28" i="37"/>
  <c r="DB228" i="37" s="1"/>
  <c r="Z27" i="34"/>
  <c r="Z27" i="35"/>
  <c r="C24" i="34"/>
  <c r="DB224" i="34" s="1"/>
  <c r="Z27" i="50"/>
  <c r="C24" i="40"/>
  <c r="DB224" i="40" s="1"/>
  <c r="BE18" i="37"/>
  <c r="BE18" i="38"/>
  <c r="BE18" i="49"/>
  <c r="BE18" i="48"/>
  <c r="BR21" i="48"/>
  <c r="C24" i="48"/>
  <c r="DB224" i="48" s="1"/>
  <c r="BE18" i="45"/>
  <c r="C24" i="44"/>
  <c r="DB224" i="44" s="1"/>
  <c r="C24" i="36"/>
  <c r="DB224" i="36" s="1"/>
  <c r="C24" i="35"/>
  <c r="DB224" i="35" s="1"/>
  <c r="Z27" i="49"/>
  <c r="Z27" i="48"/>
  <c r="AJ61" i="48" s="1"/>
  <c r="Z27" i="44"/>
  <c r="Z27" i="39"/>
  <c r="Z27" i="37"/>
  <c r="C70" i="45"/>
  <c r="C70" i="48"/>
  <c r="C24" i="41"/>
  <c r="DB224" i="41" s="1"/>
  <c r="BS21" i="50"/>
  <c r="BE18" i="24"/>
  <c r="BE18" i="36"/>
  <c r="Z27" i="36"/>
  <c r="Z27" i="47"/>
  <c r="Z27" i="45"/>
  <c r="Z27" i="43"/>
  <c r="C70" i="43"/>
  <c r="C70" i="46"/>
  <c r="C70" i="47"/>
  <c r="C70" i="49"/>
  <c r="C24" i="39"/>
  <c r="DB224" i="39" s="1"/>
  <c r="C24" i="37"/>
  <c r="DB224" i="37" s="1"/>
  <c r="Z23" i="34"/>
  <c r="Z23" i="36"/>
  <c r="AJ57" i="36" s="1"/>
  <c r="C20" i="24"/>
  <c r="DB220" i="24" s="1"/>
  <c r="Z23" i="49"/>
  <c r="AJ57" i="49" s="1"/>
  <c r="Z23" i="47"/>
  <c r="AJ57" i="47" s="1"/>
  <c r="Z23" i="37"/>
  <c r="AJ57" i="37" s="1"/>
  <c r="BE14" i="43"/>
  <c r="BG58" i="43" s="1"/>
  <c r="C66" i="44"/>
  <c r="C66" i="45"/>
  <c r="BE14" i="46"/>
  <c r="BG58" i="46" s="1"/>
  <c r="BE14" i="47"/>
  <c r="BG58" i="47" s="1"/>
  <c r="BE14" i="49"/>
  <c r="BG58" i="49" s="1"/>
  <c r="C20" i="39"/>
  <c r="DB220" i="39" s="1"/>
  <c r="C20" i="37"/>
  <c r="DB220" i="37" s="1"/>
  <c r="BS17" i="50"/>
  <c r="C20" i="50"/>
  <c r="DB220" i="50" s="1"/>
  <c r="BE14" i="37"/>
  <c r="BG58" i="37" s="1"/>
  <c r="BR17" i="49"/>
  <c r="BR17" i="47"/>
  <c r="BR17" i="46"/>
  <c r="C20" i="34"/>
  <c r="DB220" i="34" s="1"/>
  <c r="Z23" i="50"/>
  <c r="AJ57" i="50" s="1"/>
  <c r="Z23" i="46"/>
  <c r="AJ57" i="46" s="1"/>
  <c r="Z23" i="45"/>
  <c r="AJ57" i="45" s="1"/>
  <c r="Z23" i="43"/>
  <c r="BE14" i="24"/>
  <c r="BG58" i="24" s="1"/>
  <c r="BE14" i="48"/>
  <c r="BG58" i="48" s="1"/>
  <c r="C20" i="51"/>
  <c r="DB220" i="51" s="1"/>
  <c r="C20" i="38"/>
  <c r="DB220" i="38" s="1"/>
  <c r="C66" i="50"/>
  <c r="BE14" i="40"/>
  <c r="BG58" i="40" s="1"/>
  <c r="BE14" i="36"/>
  <c r="BG58" i="36" s="1"/>
  <c r="BE14" i="41"/>
  <c r="BG58" i="41" s="1"/>
  <c r="C20" i="36"/>
  <c r="DB220" i="36" s="1"/>
  <c r="C20" i="35"/>
  <c r="DB220" i="35" s="1"/>
  <c r="Z23" i="41"/>
  <c r="AJ57" i="41" s="1"/>
  <c r="Z23" i="40"/>
  <c r="Z23" i="38"/>
  <c r="AJ57" i="38" s="1"/>
  <c r="BE14" i="34"/>
  <c r="BG56" i="34" s="1"/>
  <c r="C66" i="43"/>
  <c r="BE14" i="44"/>
  <c r="BG58" i="44" s="1"/>
  <c r="BE14" i="45"/>
  <c r="BG58" i="45" s="1"/>
  <c r="C66" i="46"/>
  <c r="C66" i="47"/>
  <c r="C66" i="49"/>
  <c r="C20" i="40"/>
  <c r="DB220" i="40" s="1"/>
  <c r="C20" i="41"/>
  <c r="DB220" i="41" s="1"/>
  <c r="BR17" i="24"/>
  <c r="BR21" i="34"/>
  <c r="BR21" i="35"/>
  <c r="BR25" i="36"/>
  <c r="BR21" i="37"/>
  <c r="BR17" i="38"/>
  <c r="BR17" i="39"/>
  <c r="BE22" i="39"/>
  <c r="BI66" i="39" s="1"/>
  <c r="BE22" i="38"/>
  <c r="BE22" i="34"/>
  <c r="C28" i="43"/>
  <c r="DB228" i="43" s="1"/>
  <c r="BG68" i="46"/>
  <c r="C20" i="47"/>
  <c r="DB220" i="47" s="1"/>
  <c r="BE18" i="47"/>
  <c r="C28" i="49"/>
  <c r="DB228" i="49" s="1"/>
  <c r="C24" i="49"/>
  <c r="DB224" i="49" s="1"/>
  <c r="BE18" i="40"/>
  <c r="BJ23" i="38"/>
  <c r="P29" i="38"/>
  <c r="D23" i="51"/>
  <c r="DC223" i="51" s="1"/>
  <c r="D23" i="49"/>
  <c r="DC223" i="49" s="1"/>
  <c r="D69" i="46"/>
  <c r="D69" i="50"/>
  <c r="C66" i="48"/>
  <c r="C74" i="44"/>
  <c r="Z23" i="44"/>
  <c r="AJ57" i="44" s="1"/>
  <c r="BR25" i="24"/>
  <c r="BR21" i="24"/>
  <c r="BR25" i="34"/>
  <c r="BR25" i="35"/>
  <c r="BR17" i="35"/>
  <c r="BR17" i="36"/>
  <c r="BR25" i="37"/>
  <c r="BR17" i="37"/>
  <c r="BR25" i="39"/>
  <c r="BR25" i="40"/>
  <c r="BR25" i="41"/>
  <c r="BE22" i="40"/>
  <c r="BE22" i="35"/>
  <c r="BE22" i="24"/>
  <c r="BR25" i="43"/>
  <c r="BE22" i="43"/>
  <c r="BE22" i="41"/>
  <c r="BR21" i="44"/>
  <c r="C24" i="45"/>
  <c r="DB224" i="45" s="1"/>
  <c r="BR21" i="45"/>
  <c r="C20" i="46"/>
  <c r="DB220" i="46" s="1"/>
  <c r="BR21" i="47"/>
  <c r="C28" i="48"/>
  <c r="DB228" i="48" s="1"/>
  <c r="C28" i="50"/>
  <c r="DB228" i="50" s="1"/>
  <c r="BS25" i="50"/>
  <c r="BE18" i="39"/>
  <c r="BE18" i="34"/>
  <c r="C24" i="50"/>
  <c r="DB224" i="50" s="1"/>
  <c r="BE22" i="50"/>
  <c r="BE14" i="35"/>
  <c r="BG58" i="35" s="1"/>
  <c r="BE18" i="50"/>
  <c r="C74" i="50"/>
  <c r="C70" i="50"/>
  <c r="P76" i="47"/>
  <c r="P76" i="49" s="1"/>
  <c r="BJ24" i="47"/>
  <c r="C70" i="44"/>
  <c r="Z27" i="40"/>
  <c r="C24" i="24"/>
  <c r="DB224" i="24" s="1"/>
  <c r="BR25" i="38"/>
  <c r="BR21" i="40"/>
  <c r="BR21" i="41"/>
  <c r="BE22" i="36"/>
  <c r="BG66" i="36" s="1"/>
  <c r="C24" i="43"/>
  <c r="DB224" i="43" s="1"/>
  <c r="BR21" i="43"/>
  <c r="BR17" i="43"/>
  <c r="BE18" i="43"/>
  <c r="C28" i="44"/>
  <c r="DB228" i="44" s="1"/>
  <c r="BE18" i="44"/>
  <c r="C28" i="45"/>
  <c r="DB228" i="45" s="1"/>
  <c r="BR21" i="46"/>
  <c r="BE18" i="46"/>
  <c r="BR25" i="47"/>
  <c r="C24" i="47"/>
  <c r="DB224" i="47" s="1"/>
  <c r="BE22" i="47"/>
  <c r="C20" i="48"/>
  <c r="DB220" i="48" s="1"/>
  <c r="BR17" i="48"/>
  <c r="BR21" i="49"/>
  <c r="BE18" i="41"/>
  <c r="BE18" i="35"/>
  <c r="BE14" i="38"/>
  <c r="BG58" i="38" s="1"/>
  <c r="BE14" i="50"/>
  <c r="BG58" i="50" s="1"/>
  <c r="C28" i="39"/>
  <c r="DB228" i="39" s="1"/>
  <c r="Z31" i="38"/>
  <c r="Z27" i="38"/>
  <c r="Z27" i="46"/>
  <c r="BA8" i="50"/>
  <c r="BI63" i="50" s="1"/>
  <c r="BA8" i="49"/>
  <c r="BI56" i="49" s="1"/>
  <c r="BA8" i="48"/>
  <c r="BI63" i="48" s="1"/>
  <c r="BA8" i="34"/>
  <c r="BI54" i="34" s="1"/>
  <c r="BA8" i="37"/>
  <c r="D74" i="48"/>
  <c r="D28" i="48"/>
  <c r="DC228" i="48" s="1"/>
  <c r="D74" i="50"/>
  <c r="D28" i="50"/>
  <c r="DC228" i="50" s="1"/>
  <c r="BA8" i="41"/>
  <c r="BI59" i="41" s="1"/>
  <c r="F75" i="48"/>
  <c r="F75" i="44"/>
  <c r="F75" i="49"/>
  <c r="E32" i="48"/>
  <c r="DD232" i="48" s="1"/>
  <c r="AK58" i="24"/>
  <c r="AL58" i="24" s="1"/>
  <c r="BJ15" i="24"/>
  <c r="AK57" i="24"/>
  <c r="AL57" i="24" s="1"/>
  <c r="BJ12" i="24"/>
  <c r="E32" i="24"/>
  <c r="DD232" i="24" s="1"/>
  <c r="E78" i="49"/>
  <c r="J75" i="45"/>
  <c r="E78" i="43"/>
  <c r="F30" i="45"/>
  <c r="E78" i="46"/>
  <c r="E32" i="51"/>
  <c r="DD232" i="51" s="1"/>
  <c r="J75" i="47"/>
  <c r="E32" i="41"/>
  <c r="DD232" i="41" s="1"/>
  <c r="E78" i="44"/>
  <c r="AK51" i="24"/>
  <c r="AL51" i="24" s="1"/>
  <c r="J75" i="46"/>
  <c r="E32" i="47"/>
  <c r="DD232" i="47" s="1"/>
  <c r="R30" i="47"/>
  <c r="E78" i="50"/>
  <c r="E32" i="37"/>
  <c r="DD232" i="37" s="1"/>
  <c r="E32" i="46"/>
  <c r="DD232" i="46" s="1"/>
  <c r="E32" i="49"/>
  <c r="DD232" i="49" s="1"/>
  <c r="E32" i="50"/>
  <c r="DD232" i="50" s="1"/>
  <c r="F30" i="37"/>
  <c r="F30" i="35"/>
  <c r="F30" i="47"/>
  <c r="F30" i="44"/>
  <c r="F30" i="41"/>
  <c r="F30" i="48"/>
  <c r="BK69" i="40"/>
  <c r="T31" i="40" s="1"/>
  <c r="H76" i="49"/>
  <c r="N76" i="49"/>
  <c r="H75" i="47"/>
  <c r="K65" i="44"/>
  <c r="C84" i="52"/>
  <c r="K71" i="44"/>
  <c r="K60" i="44"/>
  <c r="K72" i="44"/>
  <c r="J54" i="47"/>
  <c r="J54" i="49"/>
  <c r="K69" i="44"/>
  <c r="K59" i="44"/>
  <c r="DF213" i="44" s="1"/>
  <c r="K75" i="44"/>
  <c r="K68" i="44"/>
  <c r="K58" i="44"/>
  <c r="J54" i="48"/>
  <c r="J54" i="50"/>
  <c r="K77" i="44"/>
  <c r="DF231" i="44" s="1"/>
  <c r="K70" i="44"/>
  <c r="DF224" i="44" s="1"/>
  <c r="K64" i="44"/>
  <c r="DF218" i="44" s="1"/>
  <c r="K57" i="44"/>
  <c r="K63" i="44"/>
  <c r="K76" i="44"/>
  <c r="J54" i="46"/>
  <c r="K61" i="44"/>
  <c r="DF215" i="44" s="1"/>
  <c r="K67" i="44"/>
  <c r="DF221" i="44" s="1"/>
  <c r="K66" i="44"/>
  <c r="DF220" i="44" s="1"/>
  <c r="J54" i="45"/>
  <c r="C107" i="52"/>
  <c r="Q71" i="47"/>
  <c r="Q57" i="47"/>
  <c r="Q73" i="47"/>
  <c r="Q72" i="47"/>
  <c r="Q68" i="47"/>
  <c r="DF222" i="47" s="1"/>
  <c r="Q60" i="47"/>
  <c r="DF214" i="47" s="1"/>
  <c r="Q59" i="47"/>
  <c r="Q75" i="47"/>
  <c r="Q61" i="47"/>
  <c r="C102" i="52"/>
  <c r="Q62" i="47"/>
  <c r="Q76" i="47"/>
  <c r="P54" i="49"/>
  <c r="C105" i="52"/>
  <c r="C106" i="52"/>
  <c r="Q64" i="47"/>
  <c r="DF218" i="47" s="1"/>
  <c r="Q74" i="47"/>
  <c r="DF228" i="47" s="1"/>
  <c r="Q65" i="47"/>
  <c r="Q70" i="47"/>
  <c r="DF224" i="47" s="1"/>
  <c r="P54" i="50"/>
  <c r="Q63" i="47"/>
  <c r="Q67" i="47"/>
  <c r="DF221" i="47" s="1"/>
  <c r="Q69" i="47"/>
  <c r="DF223" i="47" s="1"/>
  <c r="Q66" i="47"/>
  <c r="DF220" i="47" s="1"/>
  <c r="P54" i="48"/>
  <c r="C116" i="52"/>
  <c r="U67" i="49"/>
  <c r="C117" i="52"/>
  <c r="U65" i="49"/>
  <c r="U62" i="49"/>
  <c r="U76" i="49"/>
  <c r="C114" i="52"/>
  <c r="C118" i="52"/>
  <c r="U71" i="49"/>
  <c r="C119" i="52"/>
  <c r="U69" i="49"/>
  <c r="U70" i="49"/>
  <c r="U66" i="49"/>
  <c r="U64" i="49"/>
  <c r="U63" i="49"/>
  <c r="U61" i="49"/>
  <c r="U68" i="49"/>
  <c r="T54" i="50"/>
  <c r="U75" i="49"/>
  <c r="U73" i="49"/>
  <c r="U72" i="49"/>
  <c r="C115" i="52"/>
  <c r="U77" i="49"/>
  <c r="U58" i="49"/>
  <c r="K73" i="49"/>
  <c r="P30" i="41"/>
  <c r="P30" i="47"/>
  <c r="P30" i="49"/>
  <c r="P30" i="40"/>
  <c r="P30" i="46"/>
  <c r="P30" i="44"/>
  <c r="C98" i="52"/>
  <c r="C101" i="52"/>
  <c r="O65" i="46"/>
  <c r="O60" i="46"/>
  <c r="DF214" i="46" s="1"/>
  <c r="O66" i="46"/>
  <c r="DF220" i="46" s="1"/>
  <c r="O73" i="46"/>
  <c r="BK69" i="48"/>
  <c r="R77" i="48" s="1"/>
  <c r="DE231" i="48" s="1"/>
  <c r="P30" i="48"/>
  <c r="J75" i="48"/>
  <c r="J75" i="50"/>
  <c r="P30" i="43"/>
  <c r="BK69" i="50"/>
  <c r="V77" i="50" s="1"/>
  <c r="DE231" i="50" s="1"/>
  <c r="I62" i="47"/>
  <c r="I62" i="44"/>
  <c r="AA19" i="44" s="1"/>
  <c r="AC19" i="44" s="1"/>
  <c r="I62" i="49"/>
  <c r="I59" i="46"/>
  <c r="F29" i="40"/>
  <c r="F29" i="43"/>
  <c r="F29" i="36"/>
  <c r="F29" i="41"/>
  <c r="H8" i="47"/>
  <c r="S62" i="48"/>
  <c r="C108" i="52"/>
  <c r="S60" i="48"/>
  <c r="S76" i="48"/>
  <c r="S57" i="48"/>
  <c r="S61" i="48"/>
  <c r="R54" i="50"/>
  <c r="C110" i="52"/>
  <c r="S66" i="48"/>
  <c r="DF220" i="48" s="1"/>
  <c r="C109" i="52"/>
  <c r="S64" i="48"/>
  <c r="S59" i="48"/>
  <c r="DF213" i="48" s="1"/>
  <c r="S65" i="48"/>
  <c r="DF219" i="48" s="1"/>
  <c r="S77" i="48"/>
  <c r="DF231" i="48" s="1"/>
  <c r="R54" i="49"/>
  <c r="Q13" i="49"/>
  <c r="P8" i="47"/>
  <c r="P8" i="40"/>
  <c r="Q31" i="38"/>
  <c r="Q31" i="39" s="1"/>
  <c r="Q12" i="38"/>
  <c r="S69" i="48"/>
  <c r="S75" i="48"/>
  <c r="C113" i="52"/>
  <c r="S58" i="48"/>
  <c r="H54" i="46"/>
  <c r="I65" i="43"/>
  <c r="N76" i="47"/>
  <c r="N76" i="50"/>
  <c r="F29" i="34"/>
  <c r="R76" i="49"/>
  <c r="R76" i="50"/>
  <c r="P75" i="50"/>
  <c r="P75" i="48"/>
  <c r="C82" i="52"/>
  <c r="I68" i="43"/>
  <c r="C78" i="52"/>
  <c r="I72" i="43"/>
  <c r="DF226" i="43" s="1"/>
  <c r="C83" i="52"/>
  <c r="C80" i="52"/>
  <c r="C79" i="52"/>
  <c r="I66" i="43"/>
  <c r="I67" i="43"/>
  <c r="I73" i="43"/>
  <c r="I63" i="43"/>
  <c r="H54" i="49"/>
  <c r="H54" i="48"/>
  <c r="I60" i="43"/>
  <c r="C81" i="52"/>
  <c r="I70" i="43"/>
  <c r="DF224" i="43" s="1"/>
  <c r="I75" i="43"/>
  <c r="DF229" i="43" s="1"/>
  <c r="I69" i="43"/>
  <c r="DF223" i="43" s="1"/>
  <c r="I77" i="43"/>
  <c r="DF231" i="43" s="1"/>
  <c r="H54" i="47"/>
  <c r="C54" i="52"/>
  <c r="Q26" i="38"/>
  <c r="Q24" i="38"/>
  <c r="Q17" i="38"/>
  <c r="Q16" i="38"/>
  <c r="Q25" i="38"/>
  <c r="Q15" i="38"/>
  <c r="P8" i="39"/>
  <c r="P8" i="41"/>
  <c r="Q14" i="38"/>
  <c r="Q30" i="38"/>
  <c r="Q29" i="38"/>
  <c r="Q23" i="38"/>
  <c r="Q27" i="38"/>
  <c r="Q11" i="38"/>
  <c r="P8" i="49"/>
  <c r="P8" i="48"/>
  <c r="P8" i="50"/>
  <c r="BI53" i="38"/>
  <c r="Q13" i="40"/>
  <c r="P8" i="45"/>
  <c r="P8" i="44"/>
  <c r="Q20" i="38"/>
  <c r="DF220" i="38" s="1"/>
  <c r="C59" i="52"/>
  <c r="Q18" i="38"/>
  <c r="DF218" i="38" s="1"/>
  <c r="S63" i="48"/>
  <c r="DF217" i="48" s="1"/>
  <c r="S67" i="48"/>
  <c r="DF221" i="48" s="1"/>
  <c r="C111" i="52"/>
  <c r="C112" i="52"/>
  <c r="H54" i="44"/>
  <c r="I57" i="43"/>
  <c r="I58" i="43"/>
  <c r="P75" i="49"/>
  <c r="F75" i="45"/>
  <c r="V29" i="48"/>
  <c r="V29" i="44"/>
  <c r="F75" i="50"/>
  <c r="F75" i="43"/>
  <c r="V29" i="47"/>
  <c r="V29" i="43"/>
  <c r="F75" i="46"/>
  <c r="F75" i="47"/>
  <c r="V29" i="49"/>
  <c r="V29" i="45"/>
  <c r="C95" i="52"/>
  <c r="M61" i="45"/>
  <c r="DF215" i="45" s="1"/>
  <c r="M75" i="45"/>
  <c r="M62" i="45"/>
  <c r="M69" i="45"/>
  <c r="M74" i="45"/>
  <c r="L54" i="46"/>
  <c r="W58" i="50"/>
  <c r="DF212" i="50" s="1"/>
  <c r="W66" i="50"/>
  <c r="DF220" i="50" s="1"/>
  <c r="W72" i="50"/>
  <c r="DF226" i="50" s="1"/>
  <c r="W69" i="50"/>
  <c r="DF223" i="50" s="1"/>
  <c r="W74" i="50"/>
  <c r="DF228" i="50" s="1"/>
  <c r="W65" i="50"/>
  <c r="DF219" i="50" s="1"/>
  <c r="S32" i="36"/>
  <c r="BA8" i="36"/>
  <c r="BI60" i="36" s="1"/>
  <c r="W32" i="35"/>
  <c r="I32" i="24"/>
  <c r="BK69" i="47"/>
  <c r="P77" i="47" s="1"/>
  <c r="DE231" i="47" s="1"/>
  <c r="L3" i="3"/>
  <c r="O36" i="3" s="1"/>
  <c r="E19" i="52"/>
  <c r="E22" i="52" s="1"/>
  <c r="E23" i="52" s="1"/>
  <c r="D68" i="43"/>
  <c r="D68" i="44"/>
  <c r="D22" i="44"/>
  <c r="DC222" i="44" s="1"/>
  <c r="D64" i="45"/>
  <c r="D15" i="45"/>
  <c r="DC215" i="45" s="1"/>
  <c r="D22" i="46"/>
  <c r="DC222" i="46" s="1"/>
  <c r="D18" i="46"/>
  <c r="DC218" i="46" s="1"/>
  <c r="D61" i="47"/>
  <c r="D61" i="48"/>
  <c r="D22" i="49"/>
  <c r="DC222" i="49" s="1"/>
  <c r="D18" i="37"/>
  <c r="DC218" i="37" s="1"/>
  <c r="D22" i="38"/>
  <c r="DC222" i="38" s="1"/>
  <c r="D15" i="39"/>
  <c r="DC215" i="39" s="1"/>
  <c r="D22" i="40"/>
  <c r="DC222" i="40" s="1"/>
  <c r="D15" i="40"/>
  <c r="DC215" i="40" s="1"/>
  <c r="D22" i="41"/>
  <c r="DC222" i="41" s="1"/>
  <c r="D15" i="41"/>
  <c r="DC215" i="41" s="1"/>
  <c r="D18" i="43"/>
  <c r="DC218" i="43" s="1"/>
  <c r="D15" i="43"/>
  <c r="DC215" i="43" s="1"/>
  <c r="D61" i="45"/>
  <c r="D22" i="45"/>
  <c r="DC222" i="45" s="1"/>
  <c r="D18" i="45"/>
  <c r="DC218" i="45" s="1"/>
  <c r="D64" i="46"/>
  <c r="D61" i="46"/>
  <c r="D22" i="47"/>
  <c r="DC222" i="47" s="1"/>
  <c r="D18" i="47"/>
  <c r="DC218" i="47" s="1"/>
  <c r="D15" i="48"/>
  <c r="DC215" i="48" s="1"/>
  <c r="D18" i="49"/>
  <c r="DC218" i="49" s="1"/>
  <c r="D64" i="43"/>
  <c r="D68" i="48"/>
  <c r="D18" i="48"/>
  <c r="DC218" i="48" s="1"/>
  <c r="D22" i="50"/>
  <c r="DC222" i="50" s="1"/>
  <c r="AJ57" i="43"/>
  <c r="C23" i="36"/>
  <c r="DB223" i="36" s="1"/>
  <c r="C69" i="47"/>
  <c r="C23" i="48"/>
  <c r="DB223" i="48" s="1"/>
  <c r="BR20" i="47"/>
  <c r="C23" i="38"/>
  <c r="DB223" i="38" s="1"/>
  <c r="C69" i="50"/>
  <c r="C23" i="47"/>
  <c r="DB223" i="47" s="1"/>
  <c r="BE17" i="48"/>
  <c r="BE17" i="49"/>
  <c r="C23" i="41"/>
  <c r="DB223" i="41" s="1"/>
  <c r="BE17" i="36"/>
  <c r="BR20" i="49"/>
  <c r="C23" i="45"/>
  <c r="DB223" i="45" s="1"/>
  <c r="BE17" i="38"/>
  <c r="BR20" i="43"/>
  <c r="BR20" i="40"/>
  <c r="BR20" i="39"/>
  <c r="BR20" i="36"/>
  <c r="BR20" i="35"/>
  <c r="BE17" i="50"/>
  <c r="BR20" i="48"/>
  <c r="BR20" i="45"/>
  <c r="BR20" i="38"/>
  <c r="BR20" i="34"/>
  <c r="C23" i="46"/>
  <c r="DB223" i="46" s="1"/>
  <c r="BR20" i="44"/>
  <c r="BR20" i="37"/>
  <c r="BR20" i="24"/>
  <c r="Z26" i="47"/>
  <c r="Z26" i="39"/>
  <c r="Z26" i="36"/>
  <c r="BE17" i="34"/>
  <c r="C69" i="48"/>
  <c r="C23" i="50"/>
  <c r="DB223" i="50" s="1"/>
  <c r="BE17" i="41"/>
  <c r="BG61" i="41" s="1"/>
  <c r="BE17" i="43"/>
  <c r="C69" i="49"/>
  <c r="BR20" i="46"/>
  <c r="Z26" i="24"/>
  <c r="Z26" i="46"/>
  <c r="Z26" i="38"/>
  <c r="C23" i="24"/>
  <c r="DB223" i="24" s="1"/>
  <c r="C69" i="45"/>
  <c r="C23" i="39"/>
  <c r="DB223" i="39" s="1"/>
  <c r="BE17" i="35"/>
  <c r="Z26" i="45"/>
  <c r="C69" i="44"/>
  <c r="C23" i="51"/>
  <c r="DB223" i="51" s="1"/>
  <c r="C23" i="49"/>
  <c r="DB223" i="49" s="1"/>
  <c r="BR20" i="41"/>
  <c r="C23" i="43"/>
  <c r="DB223" i="43" s="1"/>
  <c r="Z26" i="50"/>
  <c r="Z26" i="35"/>
  <c r="BE17" i="47"/>
  <c r="BE17" i="39"/>
  <c r="BG61" i="39" s="1"/>
  <c r="C69" i="46"/>
  <c r="Z26" i="40"/>
  <c r="Z26" i="48"/>
  <c r="C23" i="37"/>
  <c r="DB223" i="37" s="1"/>
  <c r="BE17" i="24"/>
  <c r="C23" i="40"/>
  <c r="DB223" i="40" s="1"/>
  <c r="BE17" i="40"/>
  <c r="C23" i="44"/>
  <c r="DB223" i="44" s="1"/>
  <c r="Z26" i="44"/>
  <c r="AJ60" i="44" s="1"/>
  <c r="Z26" i="43"/>
  <c r="BS20" i="50"/>
  <c r="C69" i="43"/>
  <c r="Z26" i="37"/>
  <c r="BE17" i="46"/>
  <c r="BE17" i="37"/>
  <c r="BE10" i="36"/>
  <c r="BE10" i="37"/>
  <c r="BG54" i="37" s="1"/>
  <c r="C16" i="44"/>
  <c r="DB216" i="44" s="1"/>
  <c r="BR13" i="41"/>
  <c r="BR13" i="40"/>
  <c r="BR13" i="36"/>
  <c r="BR13" i="34"/>
  <c r="BR13" i="24"/>
  <c r="BR13" i="37"/>
  <c r="C16" i="24"/>
  <c r="Z19" i="37"/>
  <c r="AJ53" i="37" s="1"/>
  <c r="BE10" i="35"/>
  <c r="Z19" i="39"/>
  <c r="AJ53" i="39" s="1"/>
  <c r="C16" i="34"/>
  <c r="DB216" i="34" s="1"/>
  <c r="C16" i="43"/>
  <c r="DB216" i="43" s="1"/>
  <c r="Z19" i="47"/>
  <c r="C62" i="43"/>
  <c r="Z19" i="49"/>
  <c r="Z19" i="24"/>
  <c r="Z19" i="36"/>
  <c r="BE10" i="24"/>
  <c r="Z19" i="44"/>
  <c r="Z19" i="48"/>
  <c r="Z19" i="40"/>
  <c r="Z19" i="45"/>
  <c r="BE10" i="34"/>
  <c r="Z19" i="35"/>
  <c r="C14" i="51"/>
  <c r="DB214" i="51" s="1"/>
  <c r="BR11" i="44"/>
  <c r="C14" i="44"/>
  <c r="DB214" i="44" s="1"/>
  <c r="BR11" i="43"/>
  <c r="BR11" i="40"/>
  <c r="BE8" i="39"/>
  <c r="BR11" i="34"/>
  <c r="BR11" i="45"/>
  <c r="BR11" i="41"/>
  <c r="BR11" i="38"/>
  <c r="Z17" i="34"/>
  <c r="BR11" i="24"/>
  <c r="BE8" i="24"/>
  <c r="Z17" i="24"/>
  <c r="AJ51" i="24" s="1"/>
  <c r="C14" i="43"/>
  <c r="DB214" i="43" s="1"/>
  <c r="C12" i="43"/>
  <c r="DB212" i="43" s="1"/>
  <c r="BE6" i="35"/>
  <c r="Z15" i="43"/>
  <c r="BE6" i="43"/>
  <c r="Z15" i="47"/>
  <c r="Z15" i="50"/>
  <c r="Z15" i="41"/>
  <c r="C12" i="35"/>
  <c r="DB212" i="35" s="1"/>
  <c r="Z15" i="45"/>
  <c r="Z15" i="36"/>
  <c r="Z15" i="38"/>
  <c r="C58" i="43"/>
  <c r="C12" i="39"/>
  <c r="DB212" i="39" s="1"/>
  <c r="BE6" i="41"/>
  <c r="BE6" i="46"/>
  <c r="C12" i="40"/>
  <c r="DB212" i="40" s="1"/>
  <c r="C58" i="45"/>
  <c r="BS9" i="50"/>
  <c r="BR9" i="39"/>
  <c r="C12" i="38"/>
  <c r="DB212" i="38" s="1"/>
  <c r="C12" i="47"/>
  <c r="DB212" i="47" s="1"/>
  <c r="BE6" i="39"/>
  <c r="BR9" i="44"/>
  <c r="BR9" i="49"/>
  <c r="BE6" i="24"/>
  <c r="Z15" i="48"/>
  <c r="BE6" i="36"/>
  <c r="BE6" i="45"/>
  <c r="C12" i="37"/>
  <c r="DB212" i="37" s="1"/>
  <c r="Z15" i="35"/>
  <c r="BE6" i="48"/>
  <c r="C58" i="50"/>
  <c r="C58" i="49"/>
  <c r="C12" i="49"/>
  <c r="DB212" i="49" s="1"/>
  <c r="Z15" i="37"/>
  <c r="C12" i="50"/>
  <c r="DB212" i="50" s="1"/>
  <c r="C12" i="44"/>
  <c r="DB212" i="44" s="1"/>
  <c r="BR9" i="41"/>
  <c r="BR9" i="43"/>
  <c r="BR9" i="37"/>
  <c r="BR9" i="38"/>
  <c r="BE6" i="34"/>
  <c r="Z15" i="34"/>
  <c r="BR9" i="35"/>
  <c r="Z15" i="46"/>
  <c r="C12" i="36"/>
  <c r="DB212" i="36" s="1"/>
  <c r="C58" i="46"/>
  <c r="BE6" i="50"/>
  <c r="Z15" i="44"/>
  <c r="BE6" i="49"/>
  <c r="BG50" i="49" s="1"/>
  <c r="BE6" i="40"/>
  <c r="C12" i="41"/>
  <c r="DB212" i="41" s="1"/>
  <c r="C12" i="46"/>
  <c r="DB212" i="46" s="1"/>
  <c r="C58" i="44"/>
  <c r="BE6" i="38"/>
  <c r="C58" i="47"/>
  <c r="BR9" i="48"/>
  <c r="BR9" i="34"/>
  <c r="BR9" i="40"/>
  <c r="BE6" i="47"/>
  <c r="Z15" i="49"/>
  <c r="AJ49" i="49" s="1"/>
  <c r="BR9" i="47"/>
  <c r="C12" i="24"/>
  <c r="DB212" i="24" s="1"/>
  <c r="BE6" i="37"/>
  <c r="BR9" i="36"/>
  <c r="Z15" i="39"/>
  <c r="BE6" i="44"/>
  <c r="C12" i="45"/>
  <c r="DB212" i="45" s="1"/>
  <c r="BR9" i="45"/>
  <c r="Z15" i="40"/>
  <c r="C12" i="34"/>
  <c r="DB212" i="34" s="1"/>
  <c r="C12" i="51"/>
  <c r="DB212" i="51" s="1"/>
  <c r="C58" i="48"/>
  <c r="BJ6" i="48" s="1"/>
  <c r="BR8" i="49"/>
  <c r="BR8" i="40"/>
  <c r="BE5" i="50"/>
  <c r="BR8" i="37"/>
  <c r="BR8" i="24"/>
  <c r="BR8" i="41"/>
  <c r="C11" i="46"/>
  <c r="DB211" i="46" s="1"/>
  <c r="BR8" i="39"/>
  <c r="Z14" i="35"/>
  <c r="C57" i="43"/>
  <c r="BE5" i="35"/>
  <c r="Z14" i="37"/>
  <c r="AJ48" i="37" s="1"/>
  <c r="Z14" i="38"/>
  <c r="BS8" i="50"/>
  <c r="C57" i="44"/>
  <c r="C57" i="49"/>
  <c r="BR8" i="38"/>
  <c r="Z14" i="50"/>
  <c r="BE5" i="24"/>
  <c r="Z14" i="49"/>
  <c r="C11" i="35"/>
  <c r="DB211" i="35" s="1"/>
  <c r="BE5" i="45"/>
  <c r="BG49" i="45" s="1"/>
  <c r="BE5" i="39"/>
  <c r="BE5" i="46"/>
  <c r="C11" i="40"/>
  <c r="DB211" i="40" s="1"/>
  <c r="BR8" i="34"/>
  <c r="C11" i="34"/>
  <c r="DB211" i="34" s="1"/>
  <c r="Z14" i="36"/>
  <c r="Z14" i="41"/>
  <c r="Z14" i="43"/>
  <c r="C11" i="50"/>
  <c r="DB211" i="50" s="1"/>
  <c r="Z14" i="46"/>
  <c r="Z14" i="48"/>
  <c r="C11" i="39"/>
  <c r="DB211" i="39" s="1"/>
  <c r="C57" i="47"/>
  <c r="Z14" i="44"/>
  <c r="Z14" i="39"/>
  <c r="C11" i="37"/>
  <c r="DB211" i="37" s="1"/>
  <c r="C57" i="48"/>
  <c r="BE5" i="40"/>
  <c r="Z14" i="34"/>
  <c r="AJ48" i="34" s="1"/>
  <c r="BE5" i="36"/>
  <c r="Z14" i="45"/>
  <c r="AK43" i="48"/>
  <c r="K73" i="48"/>
  <c r="Z19" i="34"/>
  <c r="Z15" i="24"/>
  <c r="Q21" i="40"/>
  <c r="BE5" i="34"/>
  <c r="BE17" i="44"/>
  <c r="BR9" i="24"/>
  <c r="Q58" i="49"/>
  <c r="K73" i="46"/>
  <c r="K73" i="47"/>
  <c r="K73" i="50"/>
  <c r="I71" i="45"/>
  <c r="C23" i="35"/>
  <c r="DB223" i="35" s="1"/>
  <c r="C12" i="48"/>
  <c r="DB212" i="48" s="1"/>
  <c r="BI59" i="35"/>
  <c r="BG59" i="35"/>
  <c r="AJ55" i="46"/>
  <c r="BI60" i="45"/>
  <c r="BI53" i="45"/>
  <c r="AJ56" i="36"/>
  <c r="BI58" i="41"/>
  <c r="C61" i="47"/>
  <c r="BE9" i="46"/>
  <c r="C61" i="45"/>
  <c r="C68" i="45"/>
  <c r="C68" i="44"/>
  <c r="Z25" i="37"/>
  <c r="Z25" i="38"/>
  <c r="AJ59" i="38" s="1"/>
  <c r="Z18" i="40"/>
  <c r="Z25" i="47"/>
  <c r="Z18" i="47"/>
  <c r="Z25" i="49"/>
  <c r="C22" i="24"/>
  <c r="DB222" i="24" s="1"/>
  <c r="BI57" i="36"/>
  <c r="C15" i="34"/>
  <c r="DB215" i="34" s="1"/>
  <c r="C68" i="47"/>
  <c r="C68" i="46"/>
  <c r="BE9" i="44"/>
  <c r="BE16" i="43"/>
  <c r="Z25" i="40"/>
  <c r="Z18" i="41"/>
  <c r="Z25" i="43"/>
  <c r="Z18" i="46"/>
  <c r="BG60" i="50"/>
  <c r="BE17" i="45"/>
  <c r="C15" i="24"/>
  <c r="DB215" i="24" s="1"/>
  <c r="AK43" i="47"/>
  <c r="BG56" i="50"/>
  <c r="U32" i="36"/>
  <c r="Q32" i="36"/>
  <c r="BI58" i="49"/>
  <c r="C16" i="35"/>
  <c r="DB216" i="35" s="1"/>
  <c r="Z19" i="46"/>
  <c r="C62" i="44"/>
  <c r="BE10" i="45"/>
  <c r="C62" i="46"/>
  <c r="C62" i="47"/>
  <c r="C62" i="48"/>
  <c r="C62" i="49"/>
  <c r="C16" i="41"/>
  <c r="DB216" i="41" s="1"/>
  <c r="BE10" i="40"/>
  <c r="C16" i="36"/>
  <c r="DB216" i="36" s="1"/>
  <c r="Z19" i="43"/>
  <c r="C16" i="51"/>
  <c r="DB216" i="51" s="1"/>
  <c r="C16" i="40"/>
  <c r="DB216" i="40" s="1"/>
  <c r="BE10" i="50"/>
  <c r="C16" i="50"/>
  <c r="DB216" i="50" s="1"/>
  <c r="BE10" i="39"/>
  <c r="Z19" i="50"/>
  <c r="Z19" i="41"/>
  <c r="Z19" i="38"/>
  <c r="BE10" i="44"/>
  <c r="C62" i="45"/>
  <c r="BE10" i="46"/>
  <c r="BE10" i="47"/>
  <c r="BE10" i="48"/>
  <c r="BE10" i="49"/>
  <c r="C16" i="39"/>
  <c r="DB216" i="39" s="1"/>
  <c r="C16" i="38"/>
  <c r="DB216" i="38" s="1"/>
  <c r="C16" i="37"/>
  <c r="DB216" i="37" s="1"/>
  <c r="C62" i="50"/>
  <c r="BE10" i="38"/>
  <c r="BR13" i="49"/>
  <c r="C16" i="49"/>
  <c r="DB216" i="49" s="1"/>
  <c r="BR13" i="48"/>
  <c r="BE8" i="48"/>
  <c r="C14" i="37"/>
  <c r="DB214" i="37" s="1"/>
  <c r="C60" i="50"/>
  <c r="BE8" i="40"/>
  <c r="BE8" i="50"/>
  <c r="BE8" i="37"/>
  <c r="C60" i="48"/>
  <c r="C14" i="39"/>
  <c r="DB214" i="39" s="1"/>
  <c r="C14" i="41"/>
  <c r="DB214" i="41" s="1"/>
  <c r="BE8" i="41"/>
  <c r="BR11" i="48"/>
  <c r="BE5" i="49"/>
  <c r="BE5" i="47"/>
  <c r="BE5" i="48"/>
  <c r="C11" i="51"/>
  <c r="DB211" i="51" s="1"/>
  <c r="BE5" i="37"/>
  <c r="BE5" i="38"/>
  <c r="BR8" i="48"/>
  <c r="C11" i="38"/>
  <c r="DB211" i="38" s="1"/>
  <c r="C11" i="41"/>
  <c r="DB211" i="41" s="1"/>
  <c r="C57" i="50"/>
  <c r="C11" i="49"/>
  <c r="DB211" i="49" s="1"/>
  <c r="BW69" i="36"/>
  <c r="BW69" i="41"/>
  <c r="BW69" i="43"/>
  <c r="BW69" i="44"/>
  <c r="BX30" i="44" s="1"/>
  <c r="BW69" i="45"/>
  <c r="BW69" i="49"/>
  <c r="BX69" i="50"/>
  <c r="BR13" i="35"/>
  <c r="BR8" i="35"/>
  <c r="BR13" i="38"/>
  <c r="BR13" i="39"/>
  <c r="BR11" i="39"/>
  <c r="BR13" i="43"/>
  <c r="BR8" i="43"/>
  <c r="BR13" i="44"/>
  <c r="C11" i="44"/>
  <c r="DB211" i="44" s="1"/>
  <c r="C14" i="45"/>
  <c r="DB214" i="45" s="1"/>
  <c r="BR8" i="45"/>
  <c r="C16" i="46"/>
  <c r="DB216" i="46" s="1"/>
  <c r="C14" i="46"/>
  <c r="DB214" i="46" s="1"/>
  <c r="BR11" i="46"/>
  <c r="C14" i="47"/>
  <c r="DB214" i="47" s="1"/>
  <c r="BR11" i="47"/>
  <c r="BR8" i="47"/>
  <c r="C14" i="48"/>
  <c r="DB214" i="48" s="1"/>
  <c r="BR11" i="49"/>
  <c r="BE10" i="41"/>
  <c r="C14" i="40"/>
  <c r="DB214" i="40" s="1"/>
  <c r="C60" i="47"/>
  <c r="C16" i="45"/>
  <c r="DB216" i="45" s="1"/>
  <c r="BR13" i="45"/>
  <c r="BR13" i="46"/>
  <c r="BR9" i="46"/>
  <c r="C16" i="47"/>
  <c r="DB216" i="47" s="1"/>
  <c r="BR13" i="47"/>
  <c r="C16" i="48"/>
  <c r="DB216" i="48" s="1"/>
  <c r="C14" i="50"/>
  <c r="DB214" i="50" s="1"/>
  <c r="BE5" i="41"/>
  <c r="Z24" i="35"/>
  <c r="C21" i="34"/>
  <c r="DB221" i="34" s="1"/>
  <c r="Z24" i="49"/>
  <c r="Z24" i="45"/>
  <c r="AJ58" i="45" s="1"/>
  <c r="Z24" i="44"/>
  <c r="Z24" i="43"/>
  <c r="AJ58" i="43" s="1"/>
  <c r="Z24" i="40"/>
  <c r="AJ58" i="40" s="1"/>
  <c r="BE15" i="34"/>
  <c r="C67" i="45"/>
  <c r="C67" i="46"/>
  <c r="C67" i="48"/>
  <c r="BE15" i="49"/>
  <c r="C21" i="51"/>
  <c r="DB221" i="51" s="1"/>
  <c r="C21" i="39"/>
  <c r="DB221" i="39" s="1"/>
  <c r="C21" i="40"/>
  <c r="DB221" i="40" s="1"/>
  <c r="C67" i="50"/>
  <c r="BE15" i="40"/>
  <c r="Z24" i="36"/>
  <c r="C21" i="36"/>
  <c r="DB221" i="36" s="1"/>
  <c r="C21" i="35"/>
  <c r="DB221" i="35" s="1"/>
  <c r="Z24" i="41"/>
  <c r="Z24" i="39"/>
  <c r="Z24" i="37"/>
  <c r="AJ58" i="37" s="1"/>
  <c r="BE15" i="24"/>
  <c r="BE15" i="43"/>
  <c r="BE15" i="44"/>
  <c r="C67" i="47"/>
  <c r="C21" i="38"/>
  <c r="DB221" i="38" s="1"/>
  <c r="C21" i="37"/>
  <c r="DB221" i="37" s="1"/>
  <c r="BE15" i="50"/>
  <c r="C21" i="50"/>
  <c r="DB221" i="50" s="1"/>
  <c r="Z24" i="38"/>
  <c r="C67" i="43"/>
  <c r="BE15" i="45"/>
  <c r="BE15" i="46"/>
  <c r="BE15" i="48"/>
  <c r="C67" i="49"/>
  <c r="BR18" i="49"/>
  <c r="C21" i="49"/>
  <c r="DB221" i="49" s="1"/>
  <c r="BR11" i="35"/>
  <c r="BR11" i="36"/>
  <c r="BR8" i="36"/>
  <c r="BR11" i="37"/>
  <c r="C11" i="43"/>
  <c r="DB211" i="43" s="1"/>
  <c r="BR8" i="44"/>
  <c r="C11" i="45"/>
  <c r="DB211" i="45" s="1"/>
  <c r="BR8" i="46"/>
  <c r="C11" i="47"/>
  <c r="DB211" i="47" s="1"/>
  <c r="C11" i="48"/>
  <c r="DB211" i="48" s="1"/>
  <c r="C14" i="49"/>
  <c r="DB214" i="49" s="1"/>
  <c r="BE8" i="38"/>
  <c r="BS13" i="50"/>
  <c r="BS11" i="50"/>
  <c r="BE10" i="43"/>
  <c r="AJ57" i="34"/>
  <c r="BA8" i="47"/>
  <c r="AJ56" i="50"/>
  <c r="O32" i="34"/>
  <c r="M32" i="34"/>
  <c r="N30" i="39"/>
  <c r="N30" i="49"/>
  <c r="N30" i="43"/>
  <c r="N30" i="47"/>
  <c r="N30" i="45"/>
  <c r="N30" i="40"/>
  <c r="N30" i="44"/>
  <c r="N30" i="46"/>
  <c r="N30" i="41"/>
  <c r="N30" i="48"/>
  <c r="N30" i="38"/>
  <c r="N30" i="50"/>
  <c r="BW67" i="34"/>
  <c r="BW69" i="35"/>
  <c r="U32" i="38"/>
  <c r="BW69" i="37"/>
  <c r="BW69" i="47"/>
  <c r="BW69" i="48"/>
  <c r="BZ31" i="48" s="1"/>
  <c r="I64" i="46"/>
  <c r="H76" i="48"/>
  <c r="H76" i="45"/>
  <c r="H76" i="47"/>
  <c r="O32" i="36"/>
  <c r="H76" i="46"/>
  <c r="F30" i="50"/>
  <c r="F30" i="43"/>
  <c r="F30" i="40"/>
  <c r="F30" i="38"/>
  <c r="F30" i="46"/>
  <c r="F30" i="34"/>
  <c r="F30" i="39"/>
  <c r="F30" i="36"/>
  <c r="BW69" i="39"/>
  <c r="BW69" i="46"/>
  <c r="Q22" i="41"/>
  <c r="Q22" i="45"/>
  <c r="Q22" i="46"/>
  <c r="I62" i="46"/>
  <c r="I62" i="45"/>
  <c r="I62" i="50"/>
  <c r="I62" i="48"/>
  <c r="J76" i="45"/>
  <c r="J76" i="48"/>
  <c r="J76" i="50"/>
  <c r="J76" i="46"/>
  <c r="J76" i="47"/>
  <c r="J76" i="49"/>
  <c r="Q22" i="47"/>
  <c r="H76" i="50"/>
  <c r="H75" i="46"/>
  <c r="H75" i="44"/>
  <c r="H75" i="45"/>
  <c r="H75" i="49"/>
  <c r="H75" i="48"/>
  <c r="BK69" i="46"/>
  <c r="N77" i="46" s="1"/>
  <c r="DE231" i="46" s="1"/>
  <c r="F29" i="46"/>
  <c r="F29" i="39"/>
  <c r="F29" i="38"/>
  <c r="F29" i="35"/>
  <c r="F29" i="49"/>
  <c r="F29" i="48"/>
  <c r="F29" i="47"/>
  <c r="F29" i="50"/>
  <c r="F29" i="45"/>
  <c r="F29" i="44"/>
  <c r="AZ2" i="49"/>
  <c r="A1" i="37"/>
  <c r="A1" i="48"/>
  <c r="A1" i="46"/>
  <c r="A1" i="39"/>
  <c r="AZ2" i="34"/>
  <c r="A1" i="44"/>
  <c r="A1" i="34"/>
  <c r="AZ2" i="35"/>
  <c r="A47" i="48"/>
  <c r="AZ2" i="46"/>
  <c r="A1" i="43"/>
  <c r="A1" i="41"/>
  <c r="A1" i="49"/>
  <c r="AZ2" i="24"/>
  <c r="A1" i="40"/>
  <c r="AZ2" i="45"/>
  <c r="AZ2" i="48"/>
  <c r="A47" i="49"/>
  <c r="AZ2" i="47"/>
  <c r="A47" i="46"/>
  <c r="AZ2" i="44"/>
  <c r="A47" i="43"/>
  <c r="AZ2" i="43"/>
  <c r="AZ2" i="41"/>
  <c r="AZ2" i="38"/>
  <c r="AZ2" i="50"/>
  <c r="AZ2" i="36"/>
  <c r="AZ2" i="39"/>
  <c r="AZ2" i="40"/>
  <c r="A1" i="35"/>
  <c r="A2" i="39"/>
  <c r="A2" i="43"/>
  <c r="AZ3" i="40"/>
  <c r="A2" i="45"/>
  <c r="A48" i="50"/>
  <c r="AZ3" i="49"/>
  <c r="A2" i="24"/>
  <c r="A2" i="41"/>
  <c r="A2" i="38"/>
  <c r="A2" i="47"/>
  <c r="A48" i="43"/>
  <c r="AZ3" i="50"/>
  <c r="AZ3" i="34"/>
  <c r="AZ3" i="44"/>
  <c r="A48" i="46"/>
  <c r="AZ3" i="39"/>
  <c r="A48" i="44"/>
  <c r="AZ3" i="48"/>
  <c r="A2" i="49"/>
  <c r="A2" i="35"/>
  <c r="AZ3" i="37"/>
  <c r="AZ3" i="36"/>
  <c r="A48" i="47"/>
  <c r="A2" i="37"/>
  <c r="AZ3" i="38"/>
  <c r="AZ3" i="45"/>
  <c r="AZ3" i="47"/>
  <c r="A2" i="40"/>
  <c r="A2" i="44"/>
  <c r="A2" i="51"/>
  <c r="DA209" i="51" s="1"/>
  <c r="AZ3" i="35"/>
  <c r="A2" i="34"/>
  <c r="A2" i="36"/>
  <c r="A48" i="49"/>
  <c r="AZ3" i="24"/>
  <c r="AZ3" i="43"/>
  <c r="A48" i="45"/>
  <c r="A2" i="48"/>
  <c r="AZ3" i="41"/>
  <c r="A2" i="46"/>
  <c r="A2" i="50"/>
  <c r="AK43" i="40"/>
  <c r="AN42" i="50"/>
  <c r="AN43" i="50" s="1"/>
  <c r="AO41" i="50"/>
  <c r="AP40" i="50"/>
  <c r="E53" i="52"/>
  <c r="CE26" i="40"/>
  <c r="CE21" i="43"/>
  <c r="AM40" i="24"/>
  <c r="BG66" i="39"/>
  <c r="CE26" i="43"/>
  <c r="CE27" i="41"/>
  <c r="BG64" i="44"/>
  <c r="CE25" i="44"/>
  <c r="CE26" i="45"/>
  <c r="CE25" i="45"/>
  <c r="CE23" i="43"/>
  <c r="CE24" i="41"/>
  <c r="E78" i="48"/>
  <c r="E57" i="52"/>
  <c r="E32" i="34"/>
  <c r="DD232" i="34" s="1"/>
  <c r="W32" i="39"/>
  <c r="BG68" i="43"/>
  <c r="CE27" i="38"/>
  <c r="CE24" i="39"/>
  <c r="CE24" i="37"/>
  <c r="CE24" i="36"/>
  <c r="CE23" i="24"/>
  <c r="CE27" i="43"/>
  <c r="CE23" i="41"/>
  <c r="CE26" i="46"/>
  <c r="BG65" i="47"/>
  <c r="P30" i="45"/>
  <c r="P30" i="50"/>
  <c r="CE28" i="39"/>
  <c r="BJ69" i="39" s="1"/>
  <c r="BK69" i="38"/>
  <c r="P31" i="38" s="1"/>
  <c r="CE21" i="38"/>
  <c r="CE20" i="36"/>
  <c r="CE19" i="39"/>
  <c r="CE19" i="38"/>
  <c r="CE13" i="39"/>
  <c r="CE12" i="39"/>
  <c r="CE9" i="39"/>
  <c r="CF14" i="50"/>
  <c r="CE14" i="47"/>
  <c r="CE16" i="43"/>
  <c r="E92" i="52"/>
  <c r="E86" i="52"/>
  <c r="E87" i="52" s="1"/>
  <c r="C14" i="24"/>
  <c r="DB214" i="24" s="1"/>
  <c r="Z17" i="35"/>
  <c r="BE8" i="36"/>
  <c r="Z17" i="50"/>
  <c r="Z17" i="45"/>
  <c r="C14" i="34"/>
  <c r="DB214" i="34" s="1"/>
  <c r="Z17" i="36"/>
  <c r="BE8" i="35"/>
  <c r="C14" i="35"/>
  <c r="DB214" i="35" s="1"/>
  <c r="Z17" i="49"/>
  <c r="Z17" i="46"/>
  <c r="Z17" i="40"/>
  <c r="C14" i="36"/>
  <c r="DB214" i="36" s="1"/>
  <c r="Z17" i="48"/>
  <c r="Z17" i="41"/>
  <c r="C60" i="43"/>
  <c r="BE8" i="47"/>
  <c r="C60" i="49"/>
  <c r="BE8" i="49"/>
  <c r="C14" i="38"/>
  <c r="DB214" i="38" s="1"/>
  <c r="BE8" i="34"/>
  <c r="Z17" i="47"/>
  <c r="Z17" i="44"/>
  <c r="BE8" i="44"/>
  <c r="C60" i="46"/>
  <c r="BE8" i="46"/>
  <c r="Z17" i="39"/>
  <c r="Z17" i="38"/>
  <c r="BE8" i="43"/>
  <c r="C60" i="44"/>
  <c r="C60" i="45"/>
  <c r="BE8" i="45"/>
  <c r="C11" i="36"/>
  <c r="DB211" i="36" s="1"/>
  <c r="Z14" i="47"/>
  <c r="BE5" i="44"/>
  <c r="C57" i="45"/>
  <c r="C57" i="46"/>
  <c r="Z14" i="40"/>
  <c r="BE5" i="43"/>
  <c r="CE23" i="47"/>
  <c r="CE21" i="47"/>
  <c r="CE23" i="49"/>
  <c r="CE28" i="36"/>
  <c r="BJ69" i="36" s="1"/>
  <c r="CF26" i="50"/>
  <c r="CE22" i="24"/>
  <c r="CE21" i="36"/>
  <c r="CF10" i="50"/>
  <c r="V75" i="50"/>
  <c r="DE229" i="50" s="1"/>
  <c r="CE10" i="40"/>
  <c r="CE17" i="24"/>
  <c r="Z17" i="37"/>
  <c r="AJ61" i="49"/>
  <c r="T7" i="40"/>
  <c r="BY1" i="40"/>
  <c r="CE22" i="41"/>
  <c r="CE18" i="41"/>
  <c r="S32" i="51"/>
  <c r="CE17" i="48"/>
  <c r="CE15" i="24"/>
  <c r="Z17" i="43"/>
  <c r="CE24" i="45"/>
  <c r="CE24" i="46"/>
  <c r="CE23" i="46"/>
  <c r="CE22" i="46"/>
  <c r="CE22" i="35"/>
  <c r="CE8" i="36"/>
  <c r="CE11" i="49"/>
  <c r="CE9" i="47"/>
  <c r="CE19" i="47"/>
  <c r="CE28" i="45"/>
  <c r="BJ69" i="45" s="1"/>
  <c r="BK69" i="45" s="1"/>
  <c r="L77" i="45" s="1"/>
  <c r="DE231" i="45" s="1"/>
  <c r="AK54" i="24"/>
  <c r="AL54" i="24" s="1"/>
  <c r="AJ62" i="41"/>
  <c r="I32" i="51"/>
  <c r="CE20" i="49"/>
  <c r="CE28" i="44"/>
  <c r="BJ69" i="44" s="1"/>
  <c r="BK69" i="44" s="1"/>
  <c r="J77" i="44" s="1"/>
  <c r="DE231" i="44" s="1"/>
  <c r="CE13" i="34"/>
  <c r="CE19" i="24"/>
  <c r="AJ57" i="40"/>
  <c r="AJ50" i="40"/>
  <c r="AE33" i="41"/>
  <c r="AF33" i="41" s="1"/>
  <c r="AG33" i="41" s="1"/>
  <c r="AJ67" i="41"/>
  <c r="AJ58" i="46"/>
  <c r="G4" i="3"/>
  <c r="DG241" i="3" s="1"/>
  <c r="CE20" i="45"/>
  <c r="CE17" i="44"/>
  <c r="AT88" i="37"/>
  <c r="AE32" i="41"/>
  <c r="AF32" i="41" s="1"/>
  <c r="AG32" i="41" s="1"/>
  <c r="AJ66" i="41"/>
  <c r="L8" i="36"/>
  <c r="B44" i="52"/>
  <c r="B43" i="52"/>
  <c r="B46" i="52"/>
  <c r="B42" i="52"/>
  <c r="Z30" i="50"/>
  <c r="Z30" i="46"/>
  <c r="Z26" i="34"/>
  <c r="C23" i="34"/>
  <c r="DB223" i="34" s="1"/>
  <c r="Z26" i="49"/>
  <c r="Z26" i="41"/>
  <c r="F7" i="24"/>
  <c r="BE1" i="24"/>
  <c r="BC31" i="24"/>
  <c r="CE16" i="47"/>
  <c r="CE19" i="45"/>
  <c r="CE20" i="43"/>
  <c r="CE16" i="34"/>
  <c r="CE10" i="24"/>
  <c r="AT88" i="38"/>
  <c r="AJ61" i="47"/>
  <c r="D4" i="34"/>
  <c r="G4" i="34" s="1"/>
  <c r="D50" i="48"/>
  <c r="G50" i="48" s="1"/>
  <c r="D4" i="49"/>
  <c r="G4" i="49" s="1"/>
  <c r="D4" i="35"/>
  <c r="G4" i="35" s="1"/>
  <c r="J7" i="35"/>
  <c r="BY1" i="35"/>
  <c r="C30" i="34"/>
  <c r="DB230" i="34" s="1"/>
  <c r="Z33" i="46"/>
  <c r="Z33" i="44"/>
  <c r="AM40" i="41"/>
  <c r="AM40" i="46"/>
  <c r="AT88" i="46"/>
  <c r="AJ65" i="47"/>
  <c r="BF30" i="34"/>
  <c r="BC18" i="35"/>
  <c r="BC19" i="35" s="1"/>
  <c r="BC31" i="35" s="1"/>
  <c r="BY1" i="43"/>
  <c r="AJ66" i="46"/>
  <c r="AT88" i="49"/>
  <c r="BF30" i="35"/>
  <c r="E104" i="52"/>
  <c r="E105" i="52" s="1"/>
  <c r="Z24" i="34"/>
  <c r="AT88" i="48"/>
  <c r="AP42" i="39"/>
  <c r="AP43" i="39" s="1"/>
  <c r="AK43" i="39" s="1"/>
  <c r="AK43" i="45"/>
  <c r="AO41" i="49"/>
  <c r="AP40" i="49"/>
  <c r="AP41" i="49"/>
  <c r="O63" i="49"/>
  <c r="O63" i="47"/>
  <c r="O63" i="50"/>
  <c r="Q22" i="48"/>
  <c r="Q22" i="40"/>
  <c r="Q22" i="49"/>
  <c r="Q22" i="39"/>
  <c r="AA25" i="39" s="1"/>
  <c r="Q22" i="44"/>
  <c r="Q22" i="43"/>
  <c r="S74" i="50"/>
  <c r="S74" i="49"/>
  <c r="AA31" i="49" s="1"/>
  <c r="O64" i="46"/>
  <c r="DF218" i="46" s="1"/>
  <c r="C96" i="52"/>
  <c r="O58" i="46"/>
  <c r="DF212" i="46" s="1"/>
  <c r="O74" i="46"/>
  <c r="DF228" i="46" s="1"/>
  <c r="O69" i="46"/>
  <c r="DF223" i="46" s="1"/>
  <c r="O59" i="46"/>
  <c r="DF213" i="46" s="1"/>
  <c r="N54" i="49"/>
  <c r="AJ63" i="24"/>
  <c r="AJ55" i="37"/>
  <c r="AJ55" i="34"/>
  <c r="U32" i="37"/>
  <c r="W32" i="38"/>
  <c r="E32" i="39"/>
  <c r="DD232" i="39" s="1"/>
  <c r="E32" i="40"/>
  <c r="DD232" i="40" s="1"/>
  <c r="CE27" i="37"/>
  <c r="BI68" i="35"/>
  <c r="BG68" i="35"/>
  <c r="BV29" i="43"/>
  <c r="BW31" i="43" s="1"/>
  <c r="CE6" i="43"/>
  <c r="E79" i="52" s="1"/>
  <c r="BG67" i="40"/>
  <c r="BI67" i="40"/>
  <c r="CE23" i="39"/>
  <c r="CE21" i="46"/>
  <c r="E78" i="47"/>
  <c r="CE23" i="48"/>
  <c r="BV29" i="49"/>
  <c r="BW31" i="49" s="1"/>
  <c r="CE6" i="49"/>
  <c r="E115" i="52" s="1"/>
  <c r="BW29" i="50"/>
  <c r="BX31" i="50" s="1"/>
  <c r="CF6" i="50"/>
  <c r="BI63" i="37"/>
  <c r="BG63" i="37"/>
  <c r="CE28" i="43"/>
  <c r="BJ69" i="43" s="1"/>
  <c r="N54" i="47"/>
  <c r="O57" i="46"/>
  <c r="DF211" i="46" s="1"/>
  <c r="O77" i="46"/>
  <c r="DF231" i="46" s="1"/>
  <c r="O70" i="46"/>
  <c r="DF224" i="46" s="1"/>
  <c r="C99" i="52"/>
  <c r="O68" i="46"/>
  <c r="DF222" i="46" s="1"/>
  <c r="H8" i="46"/>
  <c r="I29" i="34"/>
  <c r="DF229" i="34" s="1"/>
  <c r="E45" i="52"/>
  <c r="W77" i="50"/>
  <c r="DF231" i="50" s="1"/>
  <c r="W73" i="50"/>
  <c r="DF227" i="50" s="1"/>
  <c r="W68" i="50"/>
  <c r="DF222" i="50" s="1"/>
  <c r="C121" i="52"/>
  <c r="L54" i="47"/>
  <c r="M76" i="45"/>
  <c r="DF230" i="45" s="1"/>
  <c r="C90" i="52"/>
  <c r="M71" i="45"/>
  <c r="DF225" i="45" s="1"/>
  <c r="C92" i="52"/>
  <c r="E59" i="52"/>
  <c r="AE33" i="40"/>
  <c r="AF33" i="40" s="1"/>
  <c r="AG33" i="40" s="1"/>
  <c r="E88" i="52"/>
  <c r="AJ59" i="24"/>
  <c r="S32" i="24"/>
  <c r="U32" i="24"/>
  <c r="Q32" i="34"/>
  <c r="W32" i="34"/>
  <c r="W32" i="36"/>
  <c r="BT29" i="40"/>
  <c r="BW31" i="40" s="1"/>
  <c r="CE6" i="40"/>
  <c r="E67" i="52" s="1"/>
  <c r="BX29" i="46"/>
  <c r="BW31" i="46" s="1"/>
  <c r="CE6" i="46"/>
  <c r="E97" i="52" s="1"/>
  <c r="E100" i="52" s="1"/>
  <c r="E101" i="52" s="1"/>
  <c r="BI62" i="47"/>
  <c r="BG62" i="47"/>
  <c r="CE28" i="41"/>
  <c r="BJ69" i="41" s="1"/>
  <c r="BK69" i="41" s="1"/>
  <c r="V31" i="41" s="1"/>
  <c r="DE231" i="41" s="1"/>
  <c r="CE28" i="37"/>
  <c r="BJ69" i="37" s="1"/>
  <c r="BK69" i="37" s="1"/>
  <c r="N31" i="37" s="1"/>
  <c r="H8" i="49"/>
  <c r="M57" i="45"/>
  <c r="DF211" i="45" s="1"/>
  <c r="M73" i="45"/>
  <c r="DF227" i="45" s="1"/>
  <c r="M63" i="45"/>
  <c r="DF217" i="45" s="1"/>
  <c r="M58" i="45"/>
  <c r="DF212" i="45" s="1"/>
  <c r="M77" i="45"/>
  <c r="DF231" i="45" s="1"/>
  <c r="M60" i="45"/>
  <c r="DF214" i="45" s="1"/>
  <c r="L54" i="49"/>
  <c r="L54" i="48"/>
  <c r="W62" i="50"/>
  <c r="DF216" i="50" s="1"/>
  <c r="C120" i="52"/>
  <c r="W60" i="50"/>
  <c r="DF214" i="50" s="1"/>
  <c r="W76" i="50"/>
  <c r="DF230" i="50" s="1"/>
  <c r="W63" i="50"/>
  <c r="DF217" i="50" s="1"/>
  <c r="W61" i="50"/>
  <c r="DF215" i="50" s="1"/>
  <c r="BG56" i="45"/>
  <c r="BI56" i="45"/>
  <c r="AJ55" i="36"/>
  <c r="Q32" i="37"/>
  <c r="S32" i="38"/>
  <c r="W32" i="40"/>
  <c r="BG68" i="38"/>
  <c r="BI68" i="38"/>
  <c r="CE26" i="38"/>
  <c r="CE27" i="44"/>
  <c r="CE22" i="44"/>
  <c r="N54" i="50"/>
  <c r="O67" i="46"/>
  <c r="DF221" i="46" s="1"/>
  <c r="O71" i="46"/>
  <c r="DF225" i="46" s="1"/>
  <c r="O62" i="46"/>
  <c r="DF216" i="46" s="1"/>
  <c r="O76" i="46"/>
  <c r="DF230" i="46" s="1"/>
  <c r="C100" i="52"/>
  <c r="H8" i="45"/>
  <c r="C33" i="52"/>
  <c r="W67" i="50"/>
  <c r="DF221" i="50" s="1"/>
  <c r="W59" i="50"/>
  <c r="DF213" i="50" s="1"/>
  <c r="W57" i="50"/>
  <c r="DF211" i="50" s="1"/>
  <c r="C125" i="52"/>
  <c r="W70" i="50"/>
  <c r="DF224" i="50" s="1"/>
  <c r="C122" i="52"/>
  <c r="M68" i="45"/>
  <c r="DF222" i="45" s="1"/>
  <c r="M72" i="45"/>
  <c r="DF226" i="45" s="1"/>
  <c r="M66" i="45"/>
  <c r="DF220" i="45" s="1"/>
  <c r="M59" i="45"/>
  <c r="DF213" i="45" s="1"/>
  <c r="M65" i="45"/>
  <c r="DF219" i="45" s="1"/>
  <c r="C91" i="52"/>
  <c r="AE33" i="36"/>
  <c r="AF33" i="36" s="1"/>
  <c r="AG33" i="36" s="1"/>
  <c r="AE33" i="47"/>
  <c r="AF33" i="47" s="1"/>
  <c r="AJ63" i="41"/>
  <c r="AM41" i="24"/>
  <c r="O32" i="24"/>
  <c r="Q32" i="24"/>
  <c r="W32" i="24"/>
  <c r="K32" i="24"/>
  <c r="U32" i="34"/>
  <c r="S32" i="34"/>
  <c r="K32" i="34"/>
  <c r="E32" i="38"/>
  <c r="DD232" i="38" s="1"/>
  <c r="U32" i="39"/>
  <c r="BT29" i="39"/>
  <c r="BW31" i="39" s="1"/>
  <c r="CE6" i="39"/>
  <c r="E61" i="52" s="1"/>
  <c r="BT29" i="41"/>
  <c r="BW31" i="41" s="1"/>
  <c r="CE6" i="41"/>
  <c r="E73" i="52" s="1"/>
  <c r="E76" i="52" s="1"/>
  <c r="E77" i="52" s="1"/>
  <c r="BI66" i="41"/>
  <c r="BG66" i="41"/>
  <c r="CE25" i="47"/>
  <c r="BG67" i="47"/>
  <c r="BI67" i="47"/>
  <c r="BI67" i="43"/>
  <c r="E99" i="52"/>
  <c r="BG56" i="48"/>
  <c r="BI56" i="48"/>
  <c r="U32" i="35"/>
  <c r="M32" i="35"/>
  <c r="S32" i="35"/>
  <c r="E32" i="35"/>
  <c r="DD232" i="35" s="1"/>
  <c r="E32" i="36"/>
  <c r="DD232" i="36" s="1"/>
  <c r="S32" i="37"/>
  <c r="CE6" i="34"/>
  <c r="E31" i="52" s="1"/>
  <c r="BW31" i="35"/>
  <c r="BW31" i="36"/>
  <c r="CE27" i="36"/>
  <c r="BG65" i="38"/>
  <c r="BI65" i="38"/>
  <c r="CE25" i="43"/>
  <c r="BG67" i="46"/>
  <c r="BI67" i="46"/>
  <c r="CE21" i="48"/>
  <c r="CE21" i="41"/>
  <c r="CE28" i="49"/>
  <c r="BJ69" i="49" s="1"/>
  <c r="BK69" i="49" s="1"/>
  <c r="T77" i="49" s="1"/>
  <c r="E32" i="43"/>
  <c r="DD232" i="43" s="1"/>
  <c r="E78" i="45"/>
  <c r="BZ29" i="45"/>
  <c r="BW31" i="45" s="1"/>
  <c r="CE6" i="45"/>
  <c r="E91" i="52" s="1"/>
  <c r="CE23" i="45"/>
  <c r="CE16" i="38"/>
  <c r="CE16" i="37"/>
  <c r="CE13" i="38"/>
  <c r="CE13" i="36"/>
  <c r="CE10" i="39"/>
  <c r="AM41" i="44"/>
  <c r="AN40" i="44"/>
  <c r="BI61" i="39"/>
  <c r="M32" i="24"/>
  <c r="Q32" i="35"/>
  <c r="O32" i="35"/>
  <c r="W32" i="37"/>
  <c r="CE27" i="40"/>
  <c r="CE27" i="39"/>
  <c r="CE27" i="34"/>
  <c r="CE23" i="36"/>
  <c r="BG65" i="41"/>
  <c r="BI65" i="41"/>
  <c r="CE26" i="44"/>
  <c r="E32" i="44"/>
  <c r="DD232" i="44" s="1"/>
  <c r="CE21" i="34"/>
  <c r="BJ23" i="39"/>
  <c r="R29" i="39"/>
  <c r="DE229" i="39" s="1"/>
  <c r="CE10" i="46"/>
  <c r="BG67" i="36"/>
  <c r="BG65" i="34"/>
  <c r="BV29" i="34"/>
  <c r="BW31" i="34" s="1"/>
  <c r="CE25" i="38"/>
  <c r="BI66" i="36"/>
  <c r="BI64" i="37"/>
  <c r="CE26" i="41"/>
  <c r="CE24" i="44"/>
  <c r="E32" i="45"/>
  <c r="DD232" i="45" s="1"/>
  <c r="CE28" i="35"/>
  <c r="BJ69" i="35" s="1"/>
  <c r="CF27" i="50"/>
  <c r="CE19" i="37"/>
  <c r="CE13" i="41"/>
  <c r="CE10" i="41"/>
  <c r="CF18" i="50"/>
  <c r="CE13" i="49"/>
  <c r="CE13" i="47"/>
  <c r="CE15" i="47"/>
  <c r="CE15" i="45"/>
  <c r="CE25" i="40"/>
  <c r="CE23" i="35"/>
  <c r="CE22" i="43"/>
  <c r="CE23" i="44"/>
  <c r="CE25" i="46"/>
  <c r="CE26" i="49"/>
  <c r="CE21" i="24"/>
  <c r="CE20" i="39"/>
  <c r="BI66" i="50"/>
  <c r="BG66" i="50"/>
  <c r="CE18" i="39"/>
  <c r="CE11" i="37"/>
  <c r="CE9" i="38"/>
  <c r="CE22" i="40"/>
  <c r="CE20" i="40"/>
  <c r="CE11" i="47"/>
  <c r="CE20" i="47"/>
  <c r="CE12" i="45"/>
  <c r="CE25" i="36"/>
  <c r="CE23" i="37"/>
  <c r="CE23" i="34"/>
  <c r="CE24" i="43"/>
  <c r="CE21" i="44"/>
  <c r="CE24" i="47"/>
  <c r="CE22" i="47"/>
  <c r="CE22" i="39"/>
  <c r="CE22" i="36"/>
  <c r="CE21" i="39"/>
  <c r="CE18" i="36"/>
  <c r="CE16" i="36"/>
  <c r="BJ23" i="40"/>
  <c r="T29" i="40"/>
  <c r="DE229" i="40" s="1"/>
  <c r="BJ23" i="37"/>
  <c r="N29" i="37"/>
  <c r="R75" i="48"/>
  <c r="DE229" i="48" s="1"/>
  <c r="BJ23" i="48"/>
  <c r="CE10" i="47"/>
  <c r="CE17" i="47"/>
  <c r="CE13" i="46"/>
  <c r="CE15" i="38"/>
  <c r="CE14" i="39"/>
  <c r="CF11" i="50"/>
  <c r="BJ7" i="50"/>
  <c r="T28" i="40"/>
  <c r="DE228" i="40" s="1"/>
  <c r="BJ22" i="40"/>
  <c r="K32" i="51"/>
  <c r="CE17" i="49"/>
  <c r="CE9" i="48"/>
  <c r="CE18" i="48"/>
  <c r="P53" i="48"/>
  <c r="P53" i="49"/>
  <c r="CE11" i="46"/>
  <c r="CE15" i="46"/>
  <c r="CE18" i="45"/>
  <c r="CE19" i="44"/>
  <c r="CE15" i="36"/>
  <c r="CE14" i="41"/>
  <c r="CE9" i="36"/>
  <c r="CE12" i="40"/>
  <c r="CE15" i="49"/>
  <c r="CE8" i="47"/>
  <c r="CE19" i="46"/>
  <c r="BJ23" i="46"/>
  <c r="N75" i="46"/>
  <c r="DE229" i="46" s="1"/>
  <c r="CE14" i="45"/>
  <c r="BA8" i="44"/>
  <c r="CE18" i="43"/>
  <c r="BK69" i="43"/>
  <c r="H77" i="43" s="1"/>
  <c r="DE231" i="43" s="1"/>
  <c r="D29" i="50"/>
  <c r="DC229" i="50" s="1"/>
  <c r="D26" i="50"/>
  <c r="DC226" i="50" s="1"/>
  <c r="CE15" i="41"/>
  <c r="CF9" i="50"/>
  <c r="CE16" i="40"/>
  <c r="BJ23" i="47"/>
  <c r="T30" i="40"/>
  <c r="DE230" i="40" s="1"/>
  <c r="BJ24" i="40"/>
  <c r="D61" i="50"/>
  <c r="D15" i="50"/>
  <c r="DC215" i="50" s="1"/>
  <c r="D3" i="51"/>
  <c r="L5" i="3"/>
  <c r="D3" i="50"/>
  <c r="CE13" i="48"/>
  <c r="CE14" i="48"/>
  <c r="CE12" i="47"/>
  <c r="CE18" i="47"/>
  <c r="CE8" i="46"/>
  <c r="CE8" i="45"/>
  <c r="CE10" i="45"/>
  <c r="CE16" i="45"/>
  <c r="CE13" i="44"/>
  <c r="AT88" i="35"/>
  <c r="CE9" i="34"/>
  <c r="AL41" i="36"/>
  <c r="AM40" i="36"/>
  <c r="AN40" i="46"/>
  <c r="CE14" i="34"/>
  <c r="CE11" i="24"/>
  <c r="CE20" i="34"/>
  <c r="CE13" i="24"/>
  <c r="AM41" i="38"/>
  <c r="AL41" i="38"/>
  <c r="AL41" i="37"/>
  <c r="AM40" i="37"/>
  <c r="BF30" i="37"/>
  <c r="Z32" i="34"/>
  <c r="Z32" i="35"/>
  <c r="C11" i="24"/>
  <c r="DB211" i="24" s="1"/>
  <c r="Z14" i="24"/>
  <c r="AJ62" i="37"/>
  <c r="AJ66" i="38"/>
  <c r="AE31" i="40"/>
  <c r="AF31" i="40" s="1"/>
  <c r="AG31" i="40" s="1"/>
  <c r="AL41" i="41"/>
  <c r="AJ56" i="43"/>
  <c r="AJ59" i="46"/>
  <c r="BC18" i="36"/>
  <c r="BC19" i="36" s="1"/>
  <c r="BC31" i="36" s="1"/>
  <c r="BF27" i="36"/>
  <c r="BF30" i="36" s="1"/>
  <c r="B81" i="52"/>
  <c r="B83" i="52"/>
  <c r="BE1" i="46"/>
  <c r="BY1" i="46"/>
  <c r="Z28" i="34"/>
  <c r="Z28" i="35"/>
  <c r="Z28" i="50"/>
  <c r="BW69" i="38"/>
  <c r="BZ31" i="38" s="1"/>
  <c r="AJ50" i="44"/>
  <c r="AL41" i="46"/>
  <c r="AJ66" i="47"/>
  <c r="BY1" i="38"/>
  <c r="BE1" i="38"/>
  <c r="BY1" i="47"/>
  <c r="BE1" i="47"/>
  <c r="E26" i="52"/>
  <c r="B37" i="52"/>
  <c r="B40" i="52"/>
  <c r="J8" i="35"/>
  <c r="B41" i="52"/>
  <c r="B38" i="52"/>
  <c r="B36" i="52"/>
  <c r="BV29" i="24"/>
  <c r="BW31" i="24" s="1"/>
  <c r="CE6" i="24"/>
  <c r="E25" i="52" s="1"/>
  <c r="E28" i="52" s="1"/>
  <c r="AJ56" i="41"/>
  <c r="CE28" i="24"/>
  <c r="BJ69" i="24" s="1"/>
  <c r="V7" i="41"/>
  <c r="BW69" i="24"/>
  <c r="C30" i="36"/>
  <c r="DB230" i="36" s="1"/>
  <c r="C30" i="35"/>
  <c r="DB230" i="35" s="1"/>
  <c r="Z33" i="50"/>
  <c r="B24" i="52"/>
  <c r="B29" i="52"/>
  <c r="B25" i="52"/>
  <c r="BI64" i="39" l="1"/>
  <c r="R8" i="39"/>
  <c r="DE229" i="37"/>
  <c r="O29" i="37"/>
  <c r="DE231" i="37"/>
  <c r="O31" i="37"/>
  <c r="M67" i="50"/>
  <c r="M67" i="48"/>
  <c r="H8" i="50"/>
  <c r="H8" i="38"/>
  <c r="H8" i="40"/>
  <c r="BK67" i="34"/>
  <c r="H31" i="34" s="1"/>
  <c r="H8" i="41"/>
  <c r="H8" i="43"/>
  <c r="C31" i="52"/>
  <c r="H8" i="44"/>
  <c r="C32" i="52"/>
  <c r="H8" i="39"/>
  <c r="C34" i="52"/>
  <c r="H8" i="48"/>
  <c r="V30" i="46"/>
  <c r="I59" i="44"/>
  <c r="BI51" i="34"/>
  <c r="H8" i="36"/>
  <c r="K74" i="49"/>
  <c r="BI55" i="45"/>
  <c r="BI57" i="49"/>
  <c r="BI60" i="41"/>
  <c r="BI57" i="41"/>
  <c r="BI60" i="38"/>
  <c r="K74" i="48"/>
  <c r="BI56" i="38"/>
  <c r="BI55" i="43"/>
  <c r="M67" i="46"/>
  <c r="AA24" i="46" s="1"/>
  <c r="AC24" i="46" s="1"/>
  <c r="BI55" i="37"/>
  <c r="DF224" i="48"/>
  <c r="BI51" i="41"/>
  <c r="BI57" i="35"/>
  <c r="BI59" i="38"/>
  <c r="BI53" i="35"/>
  <c r="K74" i="45"/>
  <c r="AA31" i="45" s="1"/>
  <c r="AK65" i="45" s="1"/>
  <c r="AL65" i="45" s="1"/>
  <c r="K74" i="47"/>
  <c r="BI55" i="35"/>
  <c r="BI53" i="49"/>
  <c r="M67" i="49"/>
  <c r="DF221" i="45"/>
  <c r="BI60" i="35"/>
  <c r="BI58" i="38"/>
  <c r="BI57" i="38"/>
  <c r="BI56" i="35"/>
  <c r="K74" i="50"/>
  <c r="V29" i="50"/>
  <c r="C30" i="52"/>
  <c r="O30" i="43"/>
  <c r="DE230" i="38"/>
  <c r="DF228" i="44"/>
  <c r="DE229" i="24"/>
  <c r="H8" i="37"/>
  <c r="H8" i="35"/>
  <c r="BI56" i="41"/>
  <c r="J29" i="43"/>
  <c r="BI53" i="24"/>
  <c r="BI50" i="49"/>
  <c r="BI55" i="40"/>
  <c r="J29" i="40"/>
  <c r="BI49" i="34"/>
  <c r="BI55" i="34"/>
  <c r="BI51" i="45"/>
  <c r="I71" i="47"/>
  <c r="R30" i="43"/>
  <c r="BJ11" i="24"/>
  <c r="BI59" i="37"/>
  <c r="BI60" i="24"/>
  <c r="BI54" i="37"/>
  <c r="J29" i="46"/>
  <c r="BI58" i="39"/>
  <c r="BI57" i="43"/>
  <c r="BI58" i="37"/>
  <c r="AK64" i="45"/>
  <c r="AL64" i="45" s="1"/>
  <c r="R30" i="40"/>
  <c r="BI51" i="48"/>
  <c r="DF225" i="43"/>
  <c r="AC31" i="50"/>
  <c r="AK65" i="50"/>
  <c r="AL65" i="50" s="1"/>
  <c r="BI56" i="37"/>
  <c r="BI55" i="46"/>
  <c r="BI57" i="37"/>
  <c r="I71" i="50"/>
  <c r="BI56" i="24"/>
  <c r="BI51" i="43"/>
  <c r="I64" i="47"/>
  <c r="BI56" i="43"/>
  <c r="BI55" i="39"/>
  <c r="R30" i="46"/>
  <c r="I71" i="49"/>
  <c r="DF218" i="43"/>
  <c r="I71" i="46"/>
  <c r="BI53" i="34"/>
  <c r="J29" i="39"/>
  <c r="J29" i="47"/>
  <c r="I64" i="48"/>
  <c r="R30" i="49"/>
  <c r="BI60" i="50"/>
  <c r="BI58" i="48"/>
  <c r="BG51" i="48"/>
  <c r="BI51" i="24"/>
  <c r="J29" i="38"/>
  <c r="J29" i="45"/>
  <c r="I64" i="44"/>
  <c r="AA21" i="44" s="1"/>
  <c r="BI56" i="50"/>
  <c r="BI58" i="50"/>
  <c r="BI53" i="40"/>
  <c r="R30" i="50"/>
  <c r="BI59" i="39"/>
  <c r="BI51" i="37"/>
  <c r="BI55" i="49"/>
  <c r="I71" i="44"/>
  <c r="BI53" i="43"/>
  <c r="J29" i="49"/>
  <c r="R30" i="48"/>
  <c r="I64" i="50"/>
  <c r="DF228" i="49"/>
  <c r="O29" i="48"/>
  <c r="DE229" i="35"/>
  <c r="J29" i="37"/>
  <c r="J29" i="50"/>
  <c r="I64" i="49"/>
  <c r="BI60" i="46"/>
  <c r="J29" i="48"/>
  <c r="J29" i="44"/>
  <c r="BI60" i="40"/>
  <c r="BI51" i="46"/>
  <c r="BI51" i="40"/>
  <c r="BI57" i="39"/>
  <c r="BI56" i="46"/>
  <c r="BI55" i="24"/>
  <c r="BI51" i="50"/>
  <c r="BI55" i="41"/>
  <c r="J29" i="41"/>
  <c r="R30" i="45"/>
  <c r="R30" i="44"/>
  <c r="R30" i="41"/>
  <c r="AC15" i="48"/>
  <c r="AK49" i="48"/>
  <c r="AL49" i="48" s="1"/>
  <c r="I59" i="48"/>
  <c r="I59" i="47"/>
  <c r="O29" i="50"/>
  <c r="O29" i="45"/>
  <c r="BI58" i="43"/>
  <c r="BI57" i="40"/>
  <c r="Q58" i="50"/>
  <c r="BJ13" i="24"/>
  <c r="BI55" i="50"/>
  <c r="BI55" i="38"/>
  <c r="I59" i="45"/>
  <c r="Q13" i="39"/>
  <c r="BJ7" i="39" s="1"/>
  <c r="O29" i="41"/>
  <c r="Q13" i="45"/>
  <c r="DF212" i="47"/>
  <c r="O29" i="46"/>
  <c r="O29" i="44"/>
  <c r="O29" i="38"/>
  <c r="AA32" i="38" s="1"/>
  <c r="AK66" i="38" s="1"/>
  <c r="AL66" i="38" s="1"/>
  <c r="BI51" i="39"/>
  <c r="BI60" i="39"/>
  <c r="BI51" i="38"/>
  <c r="BI58" i="35"/>
  <c r="Q13" i="50"/>
  <c r="I59" i="49"/>
  <c r="Q13" i="46"/>
  <c r="Q13" i="41"/>
  <c r="Q13" i="48"/>
  <c r="DF213" i="38"/>
  <c r="I59" i="50"/>
  <c r="O29" i="39"/>
  <c r="O29" i="40"/>
  <c r="O29" i="47"/>
  <c r="BI51" i="35"/>
  <c r="BI58" i="40"/>
  <c r="Q13" i="43"/>
  <c r="Q13" i="44"/>
  <c r="BJ14" i="24"/>
  <c r="CE29" i="49"/>
  <c r="DA209" i="38"/>
  <c r="DA209" i="35"/>
  <c r="DA209" i="39"/>
  <c r="DA209" i="34"/>
  <c r="DA209" i="36"/>
  <c r="DA209" i="49"/>
  <c r="DA209" i="50"/>
  <c r="DA209" i="46"/>
  <c r="DA209" i="47"/>
  <c r="DA209" i="45"/>
  <c r="DA209" i="44"/>
  <c r="DA209" i="40"/>
  <c r="DA209" i="48"/>
  <c r="DA209" i="37"/>
  <c r="DA209" i="41"/>
  <c r="DA209" i="43"/>
  <c r="DA209" i="24"/>
  <c r="AK61" i="24"/>
  <c r="AL61" i="24" s="1"/>
  <c r="AC27" i="24"/>
  <c r="AK65" i="24"/>
  <c r="AL65" i="24" s="1"/>
  <c r="AC31" i="24"/>
  <c r="AN40" i="43"/>
  <c r="AN41" i="43"/>
  <c r="AL42" i="43"/>
  <c r="AL43" i="43" s="1"/>
  <c r="AM41" i="43"/>
  <c r="AN40" i="38"/>
  <c r="AN41" i="38"/>
  <c r="AL42" i="38"/>
  <c r="AL43" i="38" s="1"/>
  <c r="AM42" i="35"/>
  <c r="AM43" i="35" s="1"/>
  <c r="AO40" i="35"/>
  <c r="AN41" i="35"/>
  <c r="BI60" i="44"/>
  <c r="BI64" i="44"/>
  <c r="BI63" i="44"/>
  <c r="BI56" i="47"/>
  <c r="BI64" i="47"/>
  <c r="BI63" i="47"/>
  <c r="AA28" i="44"/>
  <c r="AK62" i="44" s="1"/>
  <c r="AL62" i="44" s="1"/>
  <c r="BJ19" i="44"/>
  <c r="BI65" i="47"/>
  <c r="BG65" i="48"/>
  <c r="BI65" i="48"/>
  <c r="BI65" i="45"/>
  <c r="BG65" i="45"/>
  <c r="BI65" i="43"/>
  <c r="AJ64" i="24"/>
  <c r="BI63" i="40"/>
  <c r="BI63" i="49"/>
  <c r="BI64" i="43"/>
  <c r="BI61" i="34"/>
  <c r="BI63" i="24"/>
  <c r="AJ64" i="45"/>
  <c r="BI64" i="40"/>
  <c r="BI64" i="41"/>
  <c r="BI60" i="48"/>
  <c r="BI64" i="48"/>
  <c r="BI63" i="36"/>
  <c r="BI65" i="35"/>
  <c r="BI64" i="49"/>
  <c r="BI63" i="41"/>
  <c r="BI64" i="50"/>
  <c r="BI64" i="36"/>
  <c r="BI65" i="37"/>
  <c r="BI65" i="36"/>
  <c r="BI56" i="39"/>
  <c r="BI63" i="39"/>
  <c r="BI62" i="34"/>
  <c r="DB227" i="37"/>
  <c r="BI63" i="45"/>
  <c r="AJ64" i="48"/>
  <c r="BI64" i="45"/>
  <c r="DB227" i="35"/>
  <c r="BI53" i="50"/>
  <c r="BJ10" i="24"/>
  <c r="DB216" i="24"/>
  <c r="D4" i="24"/>
  <c r="G4" i="24" s="1"/>
  <c r="E33" i="24" s="1"/>
  <c r="D4" i="39"/>
  <c r="G4" i="39" s="1"/>
  <c r="E33" i="39" s="1"/>
  <c r="D4" i="51"/>
  <c r="G4" i="51" s="1"/>
  <c r="D4" i="40"/>
  <c r="G4" i="40" s="1"/>
  <c r="E33" i="40" s="1"/>
  <c r="D50" i="47"/>
  <c r="G50" i="47" s="1"/>
  <c r="S70" i="49"/>
  <c r="AA27" i="49" s="1"/>
  <c r="AK61" i="49" s="1"/>
  <c r="AL61" i="49" s="1"/>
  <c r="O75" i="50"/>
  <c r="F76" i="47"/>
  <c r="Q21" i="50"/>
  <c r="E33" i="51"/>
  <c r="L4" i="3"/>
  <c r="F76" i="49"/>
  <c r="Q21" i="48"/>
  <c r="I76" i="48"/>
  <c r="F76" i="50"/>
  <c r="I76" i="45"/>
  <c r="Q21" i="44"/>
  <c r="I76" i="49"/>
  <c r="I76" i="47"/>
  <c r="O75" i="48"/>
  <c r="Q21" i="49"/>
  <c r="V30" i="43"/>
  <c r="Q21" i="43"/>
  <c r="S72" i="50"/>
  <c r="Q21" i="46"/>
  <c r="Q21" i="45"/>
  <c r="F76" i="45"/>
  <c r="F76" i="44"/>
  <c r="V30" i="47"/>
  <c r="Q21" i="47"/>
  <c r="S72" i="49"/>
  <c r="I76" i="50"/>
  <c r="Q21" i="39"/>
  <c r="AA24" i="39" s="1"/>
  <c r="AK58" i="39" s="1"/>
  <c r="AL58" i="39" s="1"/>
  <c r="I76" i="46"/>
  <c r="F76" i="46"/>
  <c r="Q21" i="41"/>
  <c r="V30" i="49"/>
  <c r="F76" i="48"/>
  <c r="I76" i="44"/>
  <c r="AA33" i="44" s="1"/>
  <c r="AC33" i="44" s="1"/>
  <c r="Q19" i="50"/>
  <c r="L29" i="49"/>
  <c r="DG217" i="3"/>
  <c r="DG218" i="3" s="1"/>
  <c r="DG238" i="3"/>
  <c r="D50" i="46"/>
  <c r="G50" i="46" s="1"/>
  <c r="D50" i="43"/>
  <c r="G50" i="43" s="1"/>
  <c r="D50" i="45"/>
  <c r="G50" i="45" s="1"/>
  <c r="P31" i="50"/>
  <c r="DE231" i="38"/>
  <c r="I73" i="45"/>
  <c r="DF227" i="43"/>
  <c r="I65" i="46"/>
  <c r="DF219" i="43"/>
  <c r="S75" i="49"/>
  <c r="AA32" i="49" s="1"/>
  <c r="AC32" i="49" s="1"/>
  <c r="DF229" i="48"/>
  <c r="U75" i="50"/>
  <c r="AA32" i="50" s="1"/>
  <c r="AK66" i="50" s="1"/>
  <c r="AL66" i="50" s="1"/>
  <c r="DF229" i="49"/>
  <c r="U69" i="50"/>
  <c r="AA26" i="50" s="1"/>
  <c r="AK60" i="50" s="1"/>
  <c r="AL60" i="50" s="1"/>
  <c r="DF223" i="49"/>
  <c r="Q75" i="48"/>
  <c r="AA32" i="48" s="1"/>
  <c r="AK66" i="48" s="1"/>
  <c r="AL66" i="48" s="1"/>
  <c r="DF229" i="47"/>
  <c r="M75" i="46"/>
  <c r="AA32" i="46" s="1"/>
  <c r="AK66" i="46" s="1"/>
  <c r="AL66" i="46" s="1"/>
  <c r="DF229" i="45"/>
  <c r="I57" i="50"/>
  <c r="DF211" i="43"/>
  <c r="Q23" i="43"/>
  <c r="DF223" i="38"/>
  <c r="Q16" i="43"/>
  <c r="DF216" i="38"/>
  <c r="I67" i="47"/>
  <c r="DF221" i="43"/>
  <c r="S69" i="49"/>
  <c r="AA26" i="49" s="1"/>
  <c r="AK60" i="49" s="1"/>
  <c r="AL60" i="49" s="1"/>
  <c r="DF223" i="48"/>
  <c r="S61" i="49"/>
  <c r="AA18" i="49" s="1"/>
  <c r="DF215" i="48"/>
  <c r="U64" i="50"/>
  <c r="BJ12" i="50" s="1"/>
  <c r="DF218" i="49"/>
  <c r="U76" i="50"/>
  <c r="AA33" i="50" s="1"/>
  <c r="AC33" i="50" s="1"/>
  <c r="DF230" i="49"/>
  <c r="U67" i="50"/>
  <c r="AA24" i="50" s="1"/>
  <c r="AC24" i="50" s="1"/>
  <c r="DF221" i="49"/>
  <c r="Q62" i="50"/>
  <c r="DF216" i="47"/>
  <c r="Q59" i="49"/>
  <c r="DF213" i="47"/>
  <c r="Q73" i="50"/>
  <c r="DF227" i="47"/>
  <c r="K72" i="49"/>
  <c r="DF226" i="44"/>
  <c r="K65" i="49"/>
  <c r="DF219" i="44"/>
  <c r="P76" i="50"/>
  <c r="DE230" i="47"/>
  <c r="V30" i="45"/>
  <c r="DE230" i="41"/>
  <c r="O75" i="49"/>
  <c r="DF229" i="46"/>
  <c r="U60" i="50"/>
  <c r="AA17" i="50" s="1"/>
  <c r="DF214" i="49"/>
  <c r="S68" i="50"/>
  <c r="DF222" i="48"/>
  <c r="M62" i="49"/>
  <c r="DF216" i="45"/>
  <c r="I58" i="45"/>
  <c r="DF212" i="43"/>
  <c r="Q27" i="40"/>
  <c r="DF227" i="38"/>
  <c r="Q14" i="46"/>
  <c r="DF214" i="38"/>
  <c r="Q25" i="46"/>
  <c r="DF225" i="38"/>
  <c r="Q26" i="41"/>
  <c r="DF226" i="38"/>
  <c r="I60" i="50"/>
  <c r="DF214" i="43"/>
  <c r="I68" i="48"/>
  <c r="DF222" i="43"/>
  <c r="S64" i="49"/>
  <c r="AA21" i="49" s="1"/>
  <c r="DF218" i="48"/>
  <c r="S60" i="50"/>
  <c r="DF214" i="48"/>
  <c r="U63" i="50"/>
  <c r="AA20" i="50" s="1"/>
  <c r="AC20" i="50" s="1"/>
  <c r="DF217" i="49"/>
  <c r="Q76" i="48"/>
  <c r="AA33" i="48" s="1"/>
  <c r="AC33" i="48" s="1"/>
  <c r="DF230" i="47"/>
  <c r="Q72" i="49"/>
  <c r="DF226" i="47"/>
  <c r="K57" i="49"/>
  <c r="DF211" i="44"/>
  <c r="M70" i="46"/>
  <c r="AA27" i="46" s="1"/>
  <c r="AC27" i="46" s="1"/>
  <c r="DF224" i="45"/>
  <c r="Q19" i="41"/>
  <c r="DF219" i="38"/>
  <c r="S73" i="50"/>
  <c r="DF227" i="48"/>
  <c r="Q19" i="45"/>
  <c r="M70" i="50"/>
  <c r="Q19" i="46"/>
  <c r="AC16" i="50"/>
  <c r="M74" i="47"/>
  <c r="DF228" i="45"/>
  <c r="Q29" i="41"/>
  <c r="DF229" i="38"/>
  <c r="Q17" i="48"/>
  <c r="DF217" i="38"/>
  <c r="I66" i="48"/>
  <c r="DF220" i="43"/>
  <c r="S58" i="49"/>
  <c r="AA15" i="49" s="1"/>
  <c r="AC15" i="49" s="1"/>
  <c r="DF212" i="48"/>
  <c r="Q12" i="40"/>
  <c r="DF212" i="38"/>
  <c r="S57" i="49"/>
  <c r="AA14" i="49" s="1"/>
  <c r="AC14" i="49" s="1"/>
  <c r="DF211" i="48"/>
  <c r="S62" i="50"/>
  <c r="DF216" i="48"/>
  <c r="O65" i="50"/>
  <c r="DF219" i="46"/>
  <c r="U72" i="50"/>
  <c r="DF226" i="49"/>
  <c r="U68" i="50"/>
  <c r="BJ16" i="50" s="1"/>
  <c r="DF222" i="49"/>
  <c r="U66" i="50"/>
  <c r="AA23" i="50" s="1"/>
  <c r="AC23" i="50" s="1"/>
  <c r="DF220" i="49"/>
  <c r="U71" i="50"/>
  <c r="DF225" i="49"/>
  <c r="U62" i="50"/>
  <c r="AA19" i="50" s="1"/>
  <c r="AC19" i="50" s="1"/>
  <c r="DF216" i="49"/>
  <c r="Q65" i="49"/>
  <c r="DF219" i="47"/>
  <c r="Q57" i="49"/>
  <c r="DF211" i="47"/>
  <c r="K76" i="45"/>
  <c r="AA33" i="45" s="1"/>
  <c r="AC33" i="45" s="1"/>
  <c r="DF230" i="44"/>
  <c r="K58" i="46"/>
  <c r="DF212" i="44"/>
  <c r="K69" i="49"/>
  <c r="DF223" i="44"/>
  <c r="K60" i="47"/>
  <c r="DF214" i="44"/>
  <c r="P29" i="49"/>
  <c r="DE229" i="38"/>
  <c r="M64" i="46"/>
  <c r="AA21" i="46" s="1"/>
  <c r="AC21" i="46" s="1"/>
  <c r="DF218" i="45"/>
  <c r="I61" i="47"/>
  <c r="DF215" i="43"/>
  <c r="H29" i="50"/>
  <c r="DE229" i="34"/>
  <c r="L76" i="46"/>
  <c r="DE230" i="45"/>
  <c r="O72" i="48"/>
  <c r="DF226" i="46"/>
  <c r="O61" i="47"/>
  <c r="AA18" i="47" s="1"/>
  <c r="AK52" i="47" s="1"/>
  <c r="AL52" i="47" s="1"/>
  <c r="DF215" i="46"/>
  <c r="O31" i="38"/>
  <c r="DF231" i="37"/>
  <c r="U77" i="50"/>
  <c r="DF231" i="49"/>
  <c r="K75" i="45"/>
  <c r="AA32" i="45" s="1"/>
  <c r="AK66" i="45" s="1"/>
  <c r="AL66" i="45" s="1"/>
  <c r="DF229" i="44"/>
  <c r="T31" i="45"/>
  <c r="DE231" i="40"/>
  <c r="L75" i="47"/>
  <c r="DE229" i="45"/>
  <c r="L29" i="46"/>
  <c r="DE229" i="36"/>
  <c r="U57" i="50"/>
  <c r="AA14" i="50" s="1"/>
  <c r="AC14" i="50" s="1"/>
  <c r="DF211" i="49"/>
  <c r="Q77" i="49"/>
  <c r="DF231" i="47"/>
  <c r="T77" i="50"/>
  <c r="DE231" i="49"/>
  <c r="Q19" i="39"/>
  <c r="AA22" i="39" s="1"/>
  <c r="AK56" i="39" s="1"/>
  <c r="AL56" i="39" s="1"/>
  <c r="L75" i="49"/>
  <c r="M69" i="49"/>
  <c r="DF223" i="45"/>
  <c r="Q11" i="43"/>
  <c r="DF211" i="38"/>
  <c r="Q30" i="45"/>
  <c r="DF230" i="38"/>
  <c r="Q15" i="48"/>
  <c r="DF215" i="38"/>
  <c r="Q24" i="43"/>
  <c r="DF224" i="38"/>
  <c r="I63" i="49"/>
  <c r="DF217" i="43"/>
  <c r="Q31" i="49"/>
  <c r="DF231" i="38"/>
  <c r="S76" i="50"/>
  <c r="DF230" i="48"/>
  <c r="O73" i="47"/>
  <c r="DF227" i="46"/>
  <c r="U58" i="50"/>
  <c r="AA15" i="50" s="1"/>
  <c r="AK49" i="50" s="1"/>
  <c r="AL49" i="50" s="1"/>
  <c r="DF212" i="49"/>
  <c r="U73" i="50"/>
  <c r="DF227" i="49"/>
  <c r="U61" i="50"/>
  <c r="AA18" i="50" s="1"/>
  <c r="AK52" i="50" s="1"/>
  <c r="AL52" i="50" s="1"/>
  <c r="DF215" i="49"/>
  <c r="U70" i="50"/>
  <c r="AA27" i="50" s="1"/>
  <c r="AK61" i="50" s="1"/>
  <c r="AL61" i="50" s="1"/>
  <c r="DF224" i="49"/>
  <c r="U65" i="50"/>
  <c r="AA22" i="50" s="1"/>
  <c r="AK56" i="50" s="1"/>
  <c r="AL56" i="50" s="1"/>
  <c r="DF219" i="49"/>
  <c r="Q63" i="50"/>
  <c r="DF217" i="47"/>
  <c r="Q61" i="49"/>
  <c r="DF215" i="47"/>
  <c r="Q71" i="48"/>
  <c r="DF225" i="47"/>
  <c r="K63" i="47"/>
  <c r="DF217" i="44"/>
  <c r="K68" i="46"/>
  <c r="DF222" i="44"/>
  <c r="K71" i="45"/>
  <c r="DF225" i="44"/>
  <c r="S68" i="49"/>
  <c r="AA25" i="49" s="1"/>
  <c r="AK59" i="49" s="1"/>
  <c r="AL59" i="49" s="1"/>
  <c r="K62" i="49"/>
  <c r="DF216" i="44"/>
  <c r="S71" i="50"/>
  <c r="DF225" i="48"/>
  <c r="I74" i="47"/>
  <c r="DF228" i="43"/>
  <c r="Q28" i="39"/>
  <c r="AA31" i="39" s="1"/>
  <c r="DF228" i="38"/>
  <c r="O30" i="48"/>
  <c r="DF230" i="37"/>
  <c r="C35" i="52"/>
  <c r="V30" i="44"/>
  <c r="AN40" i="34"/>
  <c r="AN41" i="34"/>
  <c r="AL42" i="34"/>
  <c r="AL43" i="34" s="1"/>
  <c r="AM41" i="34"/>
  <c r="K62" i="46"/>
  <c r="Q19" i="40"/>
  <c r="Q19" i="48"/>
  <c r="M70" i="47"/>
  <c r="L75" i="50"/>
  <c r="L75" i="46"/>
  <c r="I74" i="49"/>
  <c r="K62" i="47"/>
  <c r="K62" i="48"/>
  <c r="Q19" i="49"/>
  <c r="Q28" i="47"/>
  <c r="O30" i="40"/>
  <c r="O30" i="46"/>
  <c r="O30" i="38"/>
  <c r="AA33" i="38" s="1"/>
  <c r="AC33" i="38" s="1"/>
  <c r="Q28" i="48"/>
  <c r="L29" i="45"/>
  <c r="L29" i="44"/>
  <c r="K62" i="50"/>
  <c r="O30" i="41"/>
  <c r="O30" i="47"/>
  <c r="O30" i="50"/>
  <c r="Q19" i="43"/>
  <c r="Q19" i="47"/>
  <c r="I74" i="45"/>
  <c r="Q77" i="48"/>
  <c r="S71" i="49"/>
  <c r="Q28" i="46"/>
  <c r="Q28" i="43"/>
  <c r="O30" i="45"/>
  <c r="O30" i="49"/>
  <c r="I74" i="46"/>
  <c r="S73" i="49"/>
  <c r="L29" i="38"/>
  <c r="O30" i="44"/>
  <c r="BG53" i="50"/>
  <c r="P29" i="39"/>
  <c r="BI49" i="45"/>
  <c r="O31" i="41"/>
  <c r="I61" i="49"/>
  <c r="BI57" i="24"/>
  <c r="P29" i="44"/>
  <c r="O31" i="49"/>
  <c r="O31" i="47"/>
  <c r="H29" i="38"/>
  <c r="P29" i="47"/>
  <c r="BI61" i="41"/>
  <c r="O31" i="40"/>
  <c r="L76" i="50"/>
  <c r="BI57" i="46"/>
  <c r="BI58" i="24"/>
  <c r="O31" i="43"/>
  <c r="O31" i="45"/>
  <c r="O31" i="48"/>
  <c r="BI58" i="45"/>
  <c r="BI57" i="50"/>
  <c r="BI60" i="37"/>
  <c r="BI57" i="45"/>
  <c r="K63" i="48"/>
  <c r="M64" i="49"/>
  <c r="H29" i="41"/>
  <c r="H29" i="36"/>
  <c r="P29" i="46"/>
  <c r="I61" i="45"/>
  <c r="P29" i="41"/>
  <c r="O72" i="49"/>
  <c r="L76" i="48"/>
  <c r="M64" i="48"/>
  <c r="M64" i="47"/>
  <c r="O61" i="49"/>
  <c r="O61" i="50"/>
  <c r="H29" i="49"/>
  <c r="H29" i="35"/>
  <c r="P29" i="43"/>
  <c r="P29" i="48"/>
  <c r="T31" i="48"/>
  <c r="O72" i="47"/>
  <c r="I61" i="48"/>
  <c r="L76" i="49"/>
  <c r="BJ12" i="46"/>
  <c r="P29" i="50"/>
  <c r="T31" i="47"/>
  <c r="M64" i="50"/>
  <c r="H29" i="40"/>
  <c r="H29" i="46"/>
  <c r="E89" i="52"/>
  <c r="E39" i="52"/>
  <c r="E41" i="52"/>
  <c r="BJ21" i="40"/>
  <c r="BI65" i="44"/>
  <c r="BG65" i="44"/>
  <c r="BI63" i="34"/>
  <c r="BG63" i="34"/>
  <c r="BI65" i="24"/>
  <c r="BG65" i="24"/>
  <c r="BJ21" i="45"/>
  <c r="Q27" i="46"/>
  <c r="BI56" i="34"/>
  <c r="BI57" i="48"/>
  <c r="BI54" i="36"/>
  <c r="BI58" i="36"/>
  <c r="P29" i="45"/>
  <c r="Q28" i="40"/>
  <c r="I74" i="48"/>
  <c r="BI58" i="46"/>
  <c r="Q28" i="41"/>
  <c r="BI53" i="39"/>
  <c r="M70" i="49"/>
  <c r="O72" i="50"/>
  <c r="M70" i="48"/>
  <c r="Q28" i="45"/>
  <c r="O61" i="48"/>
  <c r="L29" i="43"/>
  <c r="L29" i="37"/>
  <c r="H29" i="48"/>
  <c r="H29" i="45"/>
  <c r="L29" i="47"/>
  <c r="H29" i="39"/>
  <c r="H29" i="43"/>
  <c r="BG66" i="37"/>
  <c r="BG65" i="50"/>
  <c r="BI65" i="50"/>
  <c r="P76" i="48"/>
  <c r="I61" i="46"/>
  <c r="L76" i="47"/>
  <c r="BG54" i="36"/>
  <c r="BI53" i="48"/>
  <c r="BI53" i="41"/>
  <c r="BI51" i="36"/>
  <c r="BI51" i="49"/>
  <c r="BI53" i="37"/>
  <c r="BI59" i="36"/>
  <c r="BI60" i="49"/>
  <c r="Q77" i="50"/>
  <c r="I61" i="50"/>
  <c r="Q28" i="49"/>
  <c r="I74" i="44"/>
  <c r="AA31" i="44" s="1"/>
  <c r="AC31" i="44" s="1"/>
  <c r="P29" i="40"/>
  <c r="Q28" i="44"/>
  <c r="I61" i="44"/>
  <c r="AA18" i="44" s="1"/>
  <c r="AK52" i="44" s="1"/>
  <c r="AL52" i="44" s="1"/>
  <c r="F76" i="43"/>
  <c r="V30" i="50"/>
  <c r="L29" i="50"/>
  <c r="H29" i="47"/>
  <c r="H29" i="44"/>
  <c r="L29" i="41"/>
  <c r="H29" i="37"/>
  <c r="L29" i="39"/>
  <c r="L29" i="40"/>
  <c r="BI65" i="49"/>
  <c r="BG65" i="49"/>
  <c r="AJ64" i="40"/>
  <c r="BJ18" i="38"/>
  <c r="BI66" i="46"/>
  <c r="BG66" i="46"/>
  <c r="AJ61" i="24"/>
  <c r="AJ61" i="41"/>
  <c r="AJ65" i="24"/>
  <c r="AE31" i="24"/>
  <c r="AF31" i="24" s="1"/>
  <c r="AG31" i="24" s="1"/>
  <c r="BI66" i="49"/>
  <c r="BG66" i="49"/>
  <c r="AK66" i="47"/>
  <c r="AL66" i="47" s="1"/>
  <c r="AJ61" i="46"/>
  <c r="AJ61" i="40"/>
  <c r="BI62" i="50"/>
  <c r="BG62" i="50"/>
  <c r="BI60" i="34"/>
  <c r="BG60" i="34"/>
  <c r="J74" i="44"/>
  <c r="DE228" i="44" s="1"/>
  <c r="BJ22" i="44"/>
  <c r="BI62" i="40"/>
  <c r="BG62" i="40"/>
  <c r="BG66" i="38"/>
  <c r="BI66" i="38"/>
  <c r="BJ18" i="46"/>
  <c r="AJ61" i="37"/>
  <c r="BG62" i="45"/>
  <c r="BI62" i="45"/>
  <c r="BI62" i="49"/>
  <c r="BG62" i="49"/>
  <c r="AJ61" i="50"/>
  <c r="BJ22" i="37"/>
  <c r="N28" i="37"/>
  <c r="AJ65" i="45"/>
  <c r="AE31" i="45"/>
  <c r="AF31" i="45" s="1"/>
  <c r="AG31" i="45" s="1"/>
  <c r="BJ22" i="49"/>
  <c r="T74" i="49"/>
  <c r="AE31" i="39"/>
  <c r="AF31" i="39" s="1"/>
  <c r="AG31" i="39" s="1"/>
  <c r="AJ65" i="39"/>
  <c r="AE31" i="46"/>
  <c r="AF31" i="46" s="1"/>
  <c r="AG31" i="46" s="1"/>
  <c r="AJ65" i="46"/>
  <c r="AE31" i="35"/>
  <c r="AF31" i="35" s="1"/>
  <c r="AG31" i="35" s="1"/>
  <c r="AJ65" i="35"/>
  <c r="BI66" i="45"/>
  <c r="BG66" i="45"/>
  <c r="L74" i="45"/>
  <c r="DE228" i="45" s="1"/>
  <c r="BJ22" i="45"/>
  <c r="F28" i="24"/>
  <c r="DE228" i="24" s="1"/>
  <c r="BJ22" i="24"/>
  <c r="BI58" i="34"/>
  <c r="AJ61" i="38"/>
  <c r="BG62" i="44"/>
  <c r="BI62" i="44"/>
  <c r="BI62" i="39"/>
  <c r="BG62" i="39"/>
  <c r="BI66" i="24"/>
  <c r="BG66" i="24"/>
  <c r="AJ61" i="36"/>
  <c r="AJ61" i="39"/>
  <c r="BI62" i="38"/>
  <c r="BG62" i="38"/>
  <c r="BJ22" i="38"/>
  <c r="P28" i="38"/>
  <c r="DE228" i="38" s="1"/>
  <c r="P74" i="47"/>
  <c r="DE228" i="47" s="1"/>
  <c r="BJ22" i="47"/>
  <c r="AJ65" i="41"/>
  <c r="AE31" i="41"/>
  <c r="AF31" i="41" s="1"/>
  <c r="AG31" i="41" s="1"/>
  <c r="AE31" i="49"/>
  <c r="AF31" i="49" s="1"/>
  <c r="AG31" i="49" s="1"/>
  <c r="AJ65" i="49"/>
  <c r="BI66" i="48"/>
  <c r="BG66" i="48"/>
  <c r="AJ65" i="37"/>
  <c r="AE31" i="37"/>
  <c r="AF31" i="37" s="1"/>
  <c r="AG31" i="37" s="1"/>
  <c r="AE31" i="36"/>
  <c r="AF31" i="36" s="1"/>
  <c r="AG31" i="36" s="1"/>
  <c r="AJ65" i="36"/>
  <c r="BI55" i="48"/>
  <c r="AE31" i="38"/>
  <c r="AF31" i="38" s="1"/>
  <c r="AG31" i="38" s="1"/>
  <c r="AJ65" i="38"/>
  <c r="BI62" i="35"/>
  <c r="BG62" i="35"/>
  <c r="BI62" i="46"/>
  <c r="BG62" i="46"/>
  <c r="BJ18" i="50"/>
  <c r="BI66" i="35"/>
  <c r="BG66" i="35"/>
  <c r="BJ18" i="49"/>
  <c r="AJ61" i="43"/>
  <c r="BI62" i="36"/>
  <c r="BG62" i="36"/>
  <c r="AJ61" i="44"/>
  <c r="BI62" i="37"/>
  <c r="BG62" i="37"/>
  <c r="AJ61" i="35"/>
  <c r="J28" i="35"/>
  <c r="DE228" i="35" s="1"/>
  <c r="BJ22" i="35"/>
  <c r="BJ22" i="46"/>
  <c r="N74" i="46"/>
  <c r="DE228" i="46" s="1"/>
  <c r="AE31" i="43"/>
  <c r="AF31" i="43" s="1"/>
  <c r="AG31" i="43" s="1"/>
  <c r="AJ65" i="43"/>
  <c r="AJ65" i="50"/>
  <c r="AE31" i="50"/>
  <c r="AF31" i="50" s="1"/>
  <c r="AG31" i="50" s="1"/>
  <c r="BG66" i="44"/>
  <c r="BI66" i="44"/>
  <c r="V28" i="41"/>
  <c r="DE228" i="41" s="1"/>
  <c r="BJ22" i="41"/>
  <c r="AE31" i="34"/>
  <c r="AF31" i="34" s="1"/>
  <c r="AG31" i="34" s="1"/>
  <c r="AJ65" i="34"/>
  <c r="R28" i="39"/>
  <c r="DE228" i="39" s="1"/>
  <c r="BJ22" i="39"/>
  <c r="BI62" i="41"/>
  <c r="BG62" i="41"/>
  <c r="BI66" i="47"/>
  <c r="BG66" i="47"/>
  <c r="BG62" i="43"/>
  <c r="BI62" i="43"/>
  <c r="BJ18" i="24"/>
  <c r="BJ22" i="50"/>
  <c r="V74" i="50"/>
  <c r="DE228" i="50" s="1"/>
  <c r="BG66" i="43"/>
  <c r="BI66" i="43"/>
  <c r="BI66" i="40"/>
  <c r="BG66" i="40"/>
  <c r="BI64" i="34"/>
  <c r="BG64" i="34"/>
  <c r="AJ61" i="45"/>
  <c r="BI62" i="24"/>
  <c r="BG62" i="24"/>
  <c r="BI62" i="48"/>
  <c r="BG62" i="48"/>
  <c r="AJ61" i="34"/>
  <c r="R74" i="48"/>
  <c r="DE228" i="48" s="1"/>
  <c r="BJ22" i="48"/>
  <c r="L28" i="36"/>
  <c r="DE228" i="36" s="1"/>
  <c r="BJ22" i="36"/>
  <c r="BJ22" i="43"/>
  <c r="H74" i="43"/>
  <c r="DE228" i="43" s="1"/>
  <c r="AJ65" i="44"/>
  <c r="AE31" i="44"/>
  <c r="AF31" i="44" s="1"/>
  <c r="AG31" i="44" s="1"/>
  <c r="H28" i="34"/>
  <c r="BJ22" i="34"/>
  <c r="AE31" i="48"/>
  <c r="AF31" i="48" s="1"/>
  <c r="AG31" i="48" s="1"/>
  <c r="AJ65" i="48"/>
  <c r="E79" i="49"/>
  <c r="Q26" i="46"/>
  <c r="Q31" i="44"/>
  <c r="Q31" i="46"/>
  <c r="Q31" i="40"/>
  <c r="Q31" i="47"/>
  <c r="Q31" i="45"/>
  <c r="Q31" i="41"/>
  <c r="Q31" i="50"/>
  <c r="Q31" i="43"/>
  <c r="Q31" i="48"/>
  <c r="Q17" i="47"/>
  <c r="Q57" i="48"/>
  <c r="AA14" i="48" s="1"/>
  <c r="AK48" i="48" s="1"/>
  <c r="AL48" i="48" s="1"/>
  <c r="K76" i="48"/>
  <c r="K60" i="49"/>
  <c r="BZ31" i="44"/>
  <c r="Q14" i="48"/>
  <c r="I68" i="47"/>
  <c r="K58" i="45"/>
  <c r="AA15" i="45" s="1"/>
  <c r="AK49" i="45" s="1"/>
  <c r="AL49" i="45" s="1"/>
  <c r="Q12" i="50"/>
  <c r="I68" i="49"/>
  <c r="Q16" i="47"/>
  <c r="K69" i="50"/>
  <c r="Q14" i="40"/>
  <c r="Q27" i="49"/>
  <c r="I60" i="46"/>
  <c r="BJ10" i="45"/>
  <c r="Q23" i="46"/>
  <c r="I73" i="44"/>
  <c r="S61" i="50"/>
  <c r="Q25" i="41"/>
  <c r="M74" i="50"/>
  <c r="AC24" i="39"/>
  <c r="S76" i="49"/>
  <c r="AA33" i="49" s="1"/>
  <c r="AK67" i="49" s="1"/>
  <c r="AL67" i="49" s="1"/>
  <c r="Q26" i="49"/>
  <c r="Q25" i="40"/>
  <c r="AA16" i="39"/>
  <c r="AK50" i="39" s="1"/>
  <c r="AL50" i="39" s="1"/>
  <c r="O65" i="49"/>
  <c r="BJ10" i="50"/>
  <c r="K60" i="45"/>
  <c r="AA17" i="45" s="1"/>
  <c r="AK51" i="45" s="1"/>
  <c r="AL51" i="45" s="1"/>
  <c r="K58" i="49"/>
  <c r="H31" i="36"/>
  <c r="K76" i="49"/>
  <c r="K69" i="45"/>
  <c r="AA26" i="45" s="1"/>
  <c r="Q65" i="50"/>
  <c r="H31" i="46"/>
  <c r="M75" i="48"/>
  <c r="K60" i="50"/>
  <c r="Q57" i="50"/>
  <c r="H31" i="41"/>
  <c r="BJ14" i="50"/>
  <c r="K76" i="47"/>
  <c r="K76" i="50"/>
  <c r="Q65" i="48"/>
  <c r="AA22" i="48" s="1"/>
  <c r="AK56" i="48" s="1"/>
  <c r="AL56" i="48" s="1"/>
  <c r="Q30" i="46"/>
  <c r="K76" i="46"/>
  <c r="I67" i="49"/>
  <c r="BJ11" i="50"/>
  <c r="I67" i="44"/>
  <c r="AA24" i="44" s="1"/>
  <c r="Q23" i="49"/>
  <c r="O65" i="48"/>
  <c r="Q12" i="39"/>
  <c r="AA15" i="39" s="1"/>
  <c r="AK49" i="39" s="1"/>
  <c r="AL49" i="39" s="1"/>
  <c r="Q16" i="49"/>
  <c r="K75" i="50"/>
  <c r="I67" i="50"/>
  <c r="Q16" i="46"/>
  <c r="Q16" i="39"/>
  <c r="AA19" i="39" s="1"/>
  <c r="Q16" i="40"/>
  <c r="T31" i="41"/>
  <c r="P31" i="47"/>
  <c r="T31" i="44"/>
  <c r="M62" i="46"/>
  <c r="AA19" i="46" s="1"/>
  <c r="AK53" i="46" s="1"/>
  <c r="AL53" i="46" s="1"/>
  <c r="Q23" i="47"/>
  <c r="I67" i="45"/>
  <c r="K71" i="48"/>
  <c r="I67" i="46"/>
  <c r="Q16" i="48"/>
  <c r="Q16" i="41"/>
  <c r="Q16" i="50"/>
  <c r="K63" i="50"/>
  <c r="Q63" i="49"/>
  <c r="T31" i="43"/>
  <c r="Q23" i="45"/>
  <c r="I67" i="48"/>
  <c r="Q71" i="50"/>
  <c r="Q61" i="48"/>
  <c r="AA18" i="48" s="1"/>
  <c r="Q16" i="45"/>
  <c r="Q16" i="44"/>
  <c r="K71" i="46"/>
  <c r="H31" i="35"/>
  <c r="M75" i="47"/>
  <c r="O73" i="49"/>
  <c r="Q11" i="48"/>
  <c r="K71" i="50"/>
  <c r="K68" i="47"/>
  <c r="Q75" i="50"/>
  <c r="I66" i="49"/>
  <c r="S60" i="49"/>
  <c r="AA17" i="49" s="1"/>
  <c r="AK51" i="49" s="1"/>
  <c r="AL51" i="49" s="1"/>
  <c r="Q15" i="45"/>
  <c r="I57" i="46"/>
  <c r="K68" i="45"/>
  <c r="AA25" i="45" s="1"/>
  <c r="K57" i="50"/>
  <c r="T31" i="50"/>
  <c r="I66" i="45"/>
  <c r="Q71" i="49"/>
  <c r="K68" i="48"/>
  <c r="Q63" i="48"/>
  <c r="AA20" i="48" s="1"/>
  <c r="AK54" i="48" s="1"/>
  <c r="AL54" i="48" s="1"/>
  <c r="O65" i="47"/>
  <c r="AA22" i="47" s="1"/>
  <c r="AC22" i="47" s="1"/>
  <c r="Q61" i="50"/>
  <c r="H31" i="39"/>
  <c r="I57" i="48"/>
  <c r="T31" i="49"/>
  <c r="T31" i="46"/>
  <c r="P31" i="41"/>
  <c r="Q12" i="46"/>
  <c r="Q14" i="47"/>
  <c r="Q27" i="45"/>
  <c r="I68" i="46"/>
  <c r="I73" i="50"/>
  <c r="I73" i="48"/>
  <c r="Q26" i="50"/>
  <c r="Q26" i="45"/>
  <c r="Q26" i="40"/>
  <c r="Q25" i="39"/>
  <c r="Q25" i="47"/>
  <c r="P31" i="46"/>
  <c r="Q12" i="44"/>
  <c r="Q12" i="45"/>
  <c r="K65" i="46"/>
  <c r="Q14" i="41"/>
  <c r="Q27" i="41"/>
  <c r="I68" i="45"/>
  <c r="I73" i="46"/>
  <c r="I73" i="49"/>
  <c r="Q26" i="44"/>
  <c r="Q26" i="43"/>
  <c r="Q26" i="39"/>
  <c r="Q25" i="48"/>
  <c r="Q25" i="50"/>
  <c r="M69" i="50"/>
  <c r="P31" i="48"/>
  <c r="Q12" i="48"/>
  <c r="Q12" i="49"/>
  <c r="I68" i="44"/>
  <c r="AA25" i="44" s="1"/>
  <c r="AC25" i="44" s="1"/>
  <c r="I73" i="47"/>
  <c r="Q12" i="43"/>
  <c r="S58" i="50"/>
  <c r="I68" i="50"/>
  <c r="S62" i="49"/>
  <c r="AA19" i="49" s="1"/>
  <c r="AC19" i="49" s="1"/>
  <c r="S57" i="50"/>
  <c r="Q26" i="48"/>
  <c r="Q26" i="47"/>
  <c r="Q25" i="44"/>
  <c r="Q25" i="43"/>
  <c r="I60" i="48"/>
  <c r="Q24" i="40"/>
  <c r="Q15" i="47"/>
  <c r="K57" i="48"/>
  <c r="K75" i="48"/>
  <c r="Q76" i="50"/>
  <c r="K78" i="44"/>
  <c r="DF232" i="44" s="1"/>
  <c r="M62" i="50"/>
  <c r="Q11" i="44"/>
  <c r="Q72" i="48"/>
  <c r="Q24" i="50"/>
  <c r="I60" i="49"/>
  <c r="I58" i="49"/>
  <c r="I57" i="45"/>
  <c r="Q76" i="49"/>
  <c r="BX30" i="24"/>
  <c r="Q30" i="43"/>
  <c r="I63" i="45"/>
  <c r="Q72" i="50"/>
  <c r="Q75" i="49"/>
  <c r="I58" i="44"/>
  <c r="AA15" i="44" s="1"/>
  <c r="AK49" i="44" s="1"/>
  <c r="AL49" i="44" s="1"/>
  <c r="O66" i="48"/>
  <c r="O66" i="49"/>
  <c r="O66" i="47"/>
  <c r="O66" i="50"/>
  <c r="Q70" i="49"/>
  <c r="Q70" i="48"/>
  <c r="K72" i="47"/>
  <c r="K72" i="48"/>
  <c r="I63" i="50"/>
  <c r="Q24" i="48"/>
  <c r="Q24" i="47"/>
  <c r="Q15" i="49"/>
  <c r="Q15" i="50"/>
  <c r="Q15" i="43"/>
  <c r="K59" i="47"/>
  <c r="Q59" i="50"/>
  <c r="O60" i="49"/>
  <c r="O60" i="50"/>
  <c r="O60" i="48"/>
  <c r="O60" i="47"/>
  <c r="Q67" i="48"/>
  <c r="AA24" i="48" s="1"/>
  <c r="Q67" i="50"/>
  <c r="Q67" i="49"/>
  <c r="Q60" i="48"/>
  <c r="AA17" i="48" s="1"/>
  <c r="Q60" i="50"/>
  <c r="Q60" i="49"/>
  <c r="K66" i="46"/>
  <c r="K66" i="45"/>
  <c r="K66" i="50"/>
  <c r="K66" i="49"/>
  <c r="K66" i="47"/>
  <c r="K66" i="48"/>
  <c r="K70" i="46"/>
  <c r="K70" i="49"/>
  <c r="K70" i="47"/>
  <c r="K70" i="45"/>
  <c r="AA27" i="45" s="1"/>
  <c r="K70" i="48"/>
  <c r="K70" i="50"/>
  <c r="K58" i="50"/>
  <c r="K58" i="48"/>
  <c r="K58" i="47"/>
  <c r="K69" i="48"/>
  <c r="K69" i="46"/>
  <c r="K69" i="47"/>
  <c r="K60" i="48"/>
  <c r="K60" i="46"/>
  <c r="Q11" i="50"/>
  <c r="M69" i="47"/>
  <c r="I78" i="43"/>
  <c r="K72" i="45"/>
  <c r="U78" i="49"/>
  <c r="P31" i="40"/>
  <c r="P31" i="43"/>
  <c r="S69" i="50"/>
  <c r="Q30" i="41"/>
  <c r="Q11" i="45"/>
  <c r="M69" i="48"/>
  <c r="I63" i="47"/>
  <c r="K72" i="46"/>
  <c r="Q73" i="49"/>
  <c r="Q62" i="48"/>
  <c r="AA19" i="48" s="1"/>
  <c r="AK53" i="48" s="1"/>
  <c r="AL53" i="48" s="1"/>
  <c r="Q78" i="47"/>
  <c r="I63" i="46"/>
  <c r="Q24" i="46"/>
  <c r="Q24" i="45"/>
  <c r="Q15" i="40"/>
  <c r="Q15" i="44"/>
  <c r="Q15" i="39"/>
  <c r="AA18" i="39" s="1"/>
  <c r="AC18" i="39" s="1"/>
  <c r="K59" i="49"/>
  <c r="Q59" i="48"/>
  <c r="AA16" i="48" s="1"/>
  <c r="Q74" i="48"/>
  <c r="AA31" i="48" s="1"/>
  <c r="Q74" i="50"/>
  <c r="Q74" i="49"/>
  <c r="Q68" i="49"/>
  <c r="Q68" i="48"/>
  <c r="Q68" i="50"/>
  <c r="K67" i="46"/>
  <c r="K67" i="45"/>
  <c r="AA24" i="45" s="1"/>
  <c r="K67" i="50"/>
  <c r="K67" i="47"/>
  <c r="K67" i="48"/>
  <c r="K67" i="49"/>
  <c r="K63" i="46"/>
  <c r="K63" i="45"/>
  <c r="K63" i="49"/>
  <c r="K77" i="47"/>
  <c r="K77" i="49"/>
  <c r="K77" i="46"/>
  <c r="K77" i="50"/>
  <c r="K77" i="48"/>
  <c r="K77" i="45"/>
  <c r="K68" i="49"/>
  <c r="K68" i="50"/>
  <c r="K71" i="49"/>
  <c r="K71" i="47"/>
  <c r="R77" i="50"/>
  <c r="R77" i="49"/>
  <c r="Q69" i="48"/>
  <c r="AA26" i="48" s="1"/>
  <c r="Q69" i="50"/>
  <c r="Q69" i="49"/>
  <c r="K64" i="47"/>
  <c r="K64" i="50"/>
  <c r="K64" i="48"/>
  <c r="K64" i="49"/>
  <c r="K64" i="46"/>
  <c r="K64" i="45"/>
  <c r="K59" i="50"/>
  <c r="K59" i="45"/>
  <c r="K59" i="48"/>
  <c r="K65" i="45"/>
  <c r="K65" i="50"/>
  <c r="K65" i="47"/>
  <c r="BJ12" i="44"/>
  <c r="Q30" i="50"/>
  <c r="K65" i="48"/>
  <c r="Q73" i="48"/>
  <c r="BX30" i="34"/>
  <c r="P31" i="45"/>
  <c r="AK67" i="50"/>
  <c r="AL67" i="50" s="1"/>
  <c r="M69" i="46"/>
  <c r="AA26" i="46" s="1"/>
  <c r="AC26" i="46" s="1"/>
  <c r="I63" i="48"/>
  <c r="I63" i="44"/>
  <c r="AA20" i="44" s="1"/>
  <c r="K72" i="50"/>
  <c r="Q62" i="49"/>
  <c r="Q24" i="39"/>
  <c r="AA27" i="39" s="1"/>
  <c r="AC27" i="39" s="1"/>
  <c r="Q24" i="44"/>
  <c r="Q15" i="46"/>
  <c r="Q15" i="41"/>
  <c r="BI60" i="47"/>
  <c r="Q70" i="50"/>
  <c r="AC19" i="45"/>
  <c r="K59" i="46"/>
  <c r="O73" i="48"/>
  <c r="O73" i="50"/>
  <c r="Q66" i="50"/>
  <c r="Q66" i="49"/>
  <c r="Q66" i="48"/>
  <c r="Q64" i="49"/>
  <c r="Q64" i="48"/>
  <c r="Q64" i="50"/>
  <c r="K61" i="46"/>
  <c r="K61" i="47"/>
  <c r="K61" i="48"/>
  <c r="K61" i="49"/>
  <c r="K61" i="50"/>
  <c r="K61" i="45"/>
  <c r="AA18" i="45" s="1"/>
  <c r="K57" i="46"/>
  <c r="K57" i="45"/>
  <c r="AA14" i="45" s="1"/>
  <c r="K57" i="47"/>
  <c r="K75" i="49"/>
  <c r="K75" i="47"/>
  <c r="K75" i="46"/>
  <c r="P77" i="48"/>
  <c r="P77" i="50"/>
  <c r="P77" i="49"/>
  <c r="Q18" i="45"/>
  <c r="Q18" i="49"/>
  <c r="Q18" i="50"/>
  <c r="Q18" i="40"/>
  <c r="Q18" i="47"/>
  <c r="Q18" i="44"/>
  <c r="Q18" i="46"/>
  <c r="Q18" i="39"/>
  <c r="Q18" i="43"/>
  <c r="Q18" i="48"/>
  <c r="Q18" i="41"/>
  <c r="Q11" i="39"/>
  <c r="AA14" i="39" s="1"/>
  <c r="Q11" i="49"/>
  <c r="Q11" i="47"/>
  <c r="Q11" i="41"/>
  <c r="Q11" i="40"/>
  <c r="Q11" i="46"/>
  <c r="Q30" i="49"/>
  <c r="Q30" i="48"/>
  <c r="Q30" i="40"/>
  <c r="Q30" i="44"/>
  <c r="Q30" i="47"/>
  <c r="Q30" i="39"/>
  <c r="AA33" i="39" s="1"/>
  <c r="Q24" i="49"/>
  <c r="Q24" i="41"/>
  <c r="I77" i="49"/>
  <c r="I77" i="47"/>
  <c r="I77" i="46"/>
  <c r="I77" i="45"/>
  <c r="I77" i="48"/>
  <c r="I77" i="44"/>
  <c r="I77" i="50"/>
  <c r="S77" i="50"/>
  <c r="S77" i="49"/>
  <c r="M61" i="46"/>
  <c r="M61" i="49"/>
  <c r="M61" i="47"/>
  <c r="M61" i="50"/>
  <c r="M61" i="48"/>
  <c r="S63" i="50"/>
  <c r="S63" i="49"/>
  <c r="Q29" i="48"/>
  <c r="Q29" i="44"/>
  <c r="Q29" i="39"/>
  <c r="AA32" i="39" s="1"/>
  <c r="Q29" i="43"/>
  <c r="Q29" i="47"/>
  <c r="Q29" i="40"/>
  <c r="Q17" i="44"/>
  <c r="Q17" i="50"/>
  <c r="I72" i="45"/>
  <c r="I72" i="50"/>
  <c r="I72" i="47"/>
  <c r="I72" i="46"/>
  <c r="I72" i="49"/>
  <c r="I72" i="44"/>
  <c r="I72" i="48"/>
  <c r="I65" i="44"/>
  <c r="I65" i="45"/>
  <c r="S75" i="50"/>
  <c r="M74" i="49"/>
  <c r="Q17" i="41"/>
  <c r="BJ10" i="44"/>
  <c r="S78" i="48"/>
  <c r="S64" i="50"/>
  <c r="Q29" i="46"/>
  <c r="M74" i="46"/>
  <c r="AA31" i="46" s="1"/>
  <c r="AC31" i="46" s="1"/>
  <c r="I66" i="47"/>
  <c r="I65" i="47"/>
  <c r="I66" i="50"/>
  <c r="Q17" i="45"/>
  <c r="Q17" i="43"/>
  <c r="Q17" i="39"/>
  <c r="AA20" i="39" s="1"/>
  <c r="M62" i="47"/>
  <c r="M62" i="48"/>
  <c r="I58" i="46"/>
  <c r="I58" i="50"/>
  <c r="I58" i="47"/>
  <c r="I58" i="48"/>
  <c r="Q27" i="47"/>
  <c r="Q27" i="43"/>
  <c r="Q27" i="39"/>
  <c r="AA30" i="39" s="1"/>
  <c r="Q27" i="48"/>
  <c r="Q27" i="50"/>
  <c r="Q27" i="44"/>
  <c r="Q14" i="44"/>
  <c r="Q14" i="50"/>
  <c r="Q14" i="39"/>
  <c r="AA17" i="39" s="1"/>
  <c r="Q14" i="49"/>
  <c r="Q14" i="43"/>
  <c r="Q14" i="45"/>
  <c r="Q25" i="49"/>
  <c r="Q25" i="45"/>
  <c r="I69" i="46"/>
  <c r="I69" i="48"/>
  <c r="I69" i="44"/>
  <c r="AA26" i="44" s="1"/>
  <c r="I69" i="45"/>
  <c r="I69" i="47"/>
  <c r="I69" i="50"/>
  <c r="I69" i="49"/>
  <c r="I60" i="45"/>
  <c r="I60" i="47"/>
  <c r="I60" i="44"/>
  <c r="AA17" i="44" s="1"/>
  <c r="Q12" i="41"/>
  <c r="Q12" i="47"/>
  <c r="S65" i="49"/>
  <c r="S65" i="50"/>
  <c r="S66" i="49"/>
  <c r="S66" i="50"/>
  <c r="I70" i="44"/>
  <c r="AA27" i="44" s="1"/>
  <c r="I70" i="49"/>
  <c r="I70" i="50"/>
  <c r="I70" i="48"/>
  <c r="I70" i="45"/>
  <c r="I70" i="47"/>
  <c r="I70" i="46"/>
  <c r="Q29" i="45"/>
  <c r="Q29" i="50"/>
  <c r="Q32" i="38"/>
  <c r="I66" i="44"/>
  <c r="AA23" i="44" s="1"/>
  <c r="Q17" i="49"/>
  <c r="AK53" i="44"/>
  <c r="AL53" i="44" s="1"/>
  <c r="Q29" i="49"/>
  <c r="M74" i="48"/>
  <c r="I66" i="46"/>
  <c r="I65" i="50"/>
  <c r="I65" i="49"/>
  <c r="I65" i="48"/>
  <c r="Q17" i="40"/>
  <c r="Q17" i="46"/>
  <c r="BI56" i="36"/>
  <c r="BI55" i="36"/>
  <c r="BI53" i="36"/>
  <c r="M75" i="50"/>
  <c r="M75" i="49"/>
  <c r="I57" i="44"/>
  <c r="AA14" i="44" s="1"/>
  <c r="I57" i="47"/>
  <c r="I57" i="49"/>
  <c r="S67" i="49"/>
  <c r="AA24" i="49" s="1"/>
  <c r="S67" i="50"/>
  <c r="Q20" i="45"/>
  <c r="Q20" i="41"/>
  <c r="Q20" i="50"/>
  <c r="Q20" i="46"/>
  <c r="Q20" i="48"/>
  <c r="Q20" i="40"/>
  <c r="Q20" i="39"/>
  <c r="Q20" i="44"/>
  <c r="Q20" i="49"/>
  <c r="Q20" i="47"/>
  <c r="Q20" i="43"/>
  <c r="Q23" i="39"/>
  <c r="AA26" i="39" s="1"/>
  <c r="Q23" i="41"/>
  <c r="Q23" i="50"/>
  <c r="Q23" i="40"/>
  <c r="Q23" i="48"/>
  <c r="Q23" i="44"/>
  <c r="I75" i="49"/>
  <c r="I75" i="45"/>
  <c r="I75" i="44"/>
  <c r="AA32" i="44" s="1"/>
  <c r="I75" i="47"/>
  <c r="I75" i="46"/>
  <c r="I75" i="48"/>
  <c r="I75" i="50"/>
  <c r="S59" i="50"/>
  <c r="S59" i="49"/>
  <c r="D4" i="36"/>
  <c r="G4" i="36" s="1"/>
  <c r="E33" i="36" s="1"/>
  <c r="D4" i="50"/>
  <c r="G4" i="50" s="1"/>
  <c r="D4" i="47"/>
  <c r="G4" i="47" s="1"/>
  <c r="E33" i="47" s="1"/>
  <c r="D4" i="46"/>
  <c r="G4" i="46" s="1"/>
  <c r="D4" i="45"/>
  <c r="G4" i="45" s="1"/>
  <c r="E79" i="45" s="1"/>
  <c r="D50" i="44"/>
  <c r="G50" i="44" s="1"/>
  <c r="D4" i="48"/>
  <c r="G4" i="48" s="1"/>
  <c r="E33" i="48" s="1"/>
  <c r="D4" i="44"/>
  <c r="G4" i="44" s="1"/>
  <c r="E79" i="44" s="1"/>
  <c r="D4" i="41"/>
  <c r="G4" i="41" s="1"/>
  <c r="E33" i="41" s="1"/>
  <c r="D50" i="50"/>
  <c r="G50" i="50" s="1"/>
  <c r="D4" i="38"/>
  <c r="G4" i="38" s="1"/>
  <c r="D4" i="43"/>
  <c r="G4" i="43" s="1"/>
  <c r="E79" i="43" s="1"/>
  <c r="D4" i="37"/>
  <c r="G4" i="37" s="1"/>
  <c r="E33" i="37" s="1"/>
  <c r="D50" i="49"/>
  <c r="G50" i="49" s="1"/>
  <c r="E21" i="52"/>
  <c r="BJ16" i="39"/>
  <c r="AJ48" i="49"/>
  <c r="BG50" i="24"/>
  <c r="BI50" i="24"/>
  <c r="AJ53" i="48"/>
  <c r="BI61" i="46"/>
  <c r="BG61" i="46"/>
  <c r="AJ60" i="40"/>
  <c r="AJ60" i="38"/>
  <c r="BI61" i="49"/>
  <c r="BG61" i="49"/>
  <c r="AA16" i="44"/>
  <c r="AK50" i="44" s="1"/>
  <c r="AL50" i="44" s="1"/>
  <c r="BJ7" i="44"/>
  <c r="BJ9" i="49"/>
  <c r="BJ16" i="38"/>
  <c r="AJ59" i="43"/>
  <c r="BI60" i="43"/>
  <c r="BG60" i="43"/>
  <c r="BI51" i="44"/>
  <c r="AJ59" i="49"/>
  <c r="AJ59" i="37"/>
  <c r="BJ9" i="47"/>
  <c r="AJ48" i="45"/>
  <c r="BI49" i="39"/>
  <c r="BG49" i="39"/>
  <c r="BG49" i="24"/>
  <c r="BI49" i="24"/>
  <c r="BG49" i="35"/>
  <c r="BI49" i="35"/>
  <c r="BI49" i="50"/>
  <c r="BG49" i="50"/>
  <c r="BI50" i="37"/>
  <c r="BG50" i="37"/>
  <c r="BI50" i="47"/>
  <c r="BG50" i="47"/>
  <c r="BI50" i="50"/>
  <c r="BG50" i="50"/>
  <c r="BJ6" i="50"/>
  <c r="BI50" i="45"/>
  <c r="BG50" i="45"/>
  <c r="BG50" i="43"/>
  <c r="BI50" i="43"/>
  <c r="AJ51" i="34"/>
  <c r="BG52" i="34"/>
  <c r="BI52" i="34"/>
  <c r="AJ53" i="44"/>
  <c r="AJ53" i="49"/>
  <c r="AJ60" i="37"/>
  <c r="BG61" i="24"/>
  <c r="BI61" i="24"/>
  <c r="AJ60" i="50"/>
  <c r="AJ60" i="46"/>
  <c r="BI61" i="43"/>
  <c r="BG61" i="43"/>
  <c r="BI59" i="34"/>
  <c r="BG59" i="34"/>
  <c r="BI61" i="50"/>
  <c r="BG61" i="50"/>
  <c r="BI61" i="48"/>
  <c r="BG61" i="48"/>
  <c r="AA20" i="47"/>
  <c r="BJ11" i="47"/>
  <c r="BI53" i="44"/>
  <c r="BG53" i="44"/>
  <c r="AJ48" i="44"/>
  <c r="BG49" i="46"/>
  <c r="BI49" i="46"/>
  <c r="AJ49" i="45"/>
  <c r="AJ53" i="35"/>
  <c r="AJ53" i="24"/>
  <c r="AJ60" i="43"/>
  <c r="AJ60" i="35"/>
  <c r="BI61" i="35"/>
  <c r="BG61" i="35"/>
  <c r="BJ17" i="49"/>
  <c r="AJ60" i="47"/>
  <c r="BX30" i="36"/>
  <c r="BI53" i="47"/>
  <c r="BI57" i="47"/>
  <c r="BI55" i="47"/>
  <c r="AJ52" i="41"/>
  <c r="AJ52" i="47"/>
  <c r="BI59" i="47"/>
  <c r="BI51" i="47"/>
  <c r="BI58" i="47"/>
  <c r="BI61" i="44"/>
  <c r="BG61" i="44"/>
  <c r="AJ49" i="24"/>
  <c r="BG49" i="36"/>
  <c r="BI49" i="36"/>
  <c r="AJ48" i="43"/>
  <c r="AJ48" i="50"/>
  <c r="BI50" i="44"/>
  <c r="BG50" i="44"/>
  <c r="BJ6" i="24"/>
  <c r="BI50" i="38"/>
  <c r="BG50" i="38"/>
  <c r="BI50" i="40"/>
  <c r="BG50" i="40"/>
  <c r="AJ49" i="34"/>
  <c r="AJ49" i="37"/>
  <c r="BG50" i="48"/>
  <c r="BI50" i="48"/>
  <c r="BI50" i="36"/>
  <c r="BG50" i="36"/>
  <c r="BI50" i="46"/>
  <c r="BG50" i="46"/>
  <c r="AJ49" i="38"/>
  <c r="AJ49" i="41"/>
  <c r="AJ49" i="43"/>
  <c r="BI52" i="39"/>
  <c r="BG52" i="39"/>
  <c r="AJ53" i="45"/>
  <c r="BI54" i="24"/>
  <c r="BG54" i="24"/>
  <c r="AJ60" i="24"/>
  <c r="AJ60" i="36"/>
  <c r="BI61" i="36"/>
  <c r="BG61" i="36"/>
  <c r="BG49" i="40"/>
  <c r="BI49" i="40"/>
  <c r="AJ48" i="36"/>
  <c r="AJ49" i="44"/>
  <c r="AJ49" i="46"/>
  <c r="AJ49" i="47"/>
  <c r="AJ51" i="45"/>
  <c r="BI57" i="44"/>
  <c r="BI56" i="44"/>
  <c r="BI55" i="44"/>
  <c r="AJ48" i="46"/>
  <c r="BJ12" i="49"/>
  <c r="BX30" i="48"/>
  <c r="AJ52" i="46"/>
  <c r="AJ59" i="40"/>
  <c r="BI58" i="44"/>
  <c r="BJ16" i="24"/>
  <c r="AJ59" i="47"/>
  <c r="AJ52" i="40"/>
  <c r="BI53" i="46"/>
  <c r="BG53" i="46"/>
  <c r="AC31" i="45"/>
  <c r="BG47" i="34"/>
  <c r="BI47" i="34"/>
  <c r="AJ53" i="34"/>
  <c r="AJ48" i="39"/>
  <c r="AJ48" i="48"/>
  <c r="AJ48" i="41"/>
  <c r="AJ48" i="38"/>
  <c r="AJ48" i="35"/>
  <c r="AJ49" i="40"/>
  <c r="AJ49" i="39"/>
  <c r="BI48" i="34"/>
  <c r="BG48" i="34"/>
  <c r="AJ49" i="35"/>
  <c r="AJ49" i="48"/>
  <c r="BI50" i="39"/>
  <c r="BG50" i="39"/>
  <c r="BI50" i="41"/>
  <c r="BG50" i="41"/>
  <c r="AJ49" i="36"/>
  <c r="AJ49" i="50"/>
  <c r="BI50" i="35"/>
  <c r="BG50" i="35"/>
  <c r="BG52" i="24"/>
  <c r="BI52" i="24"/>
  <c r="AJ53" i="40"/>
  <c r="AJ53" i="36"/>
  <c r="AJ53" i="47"/>
  <c r="BG54" i="35"/>
  <c r="BI54" i="35"/>
  <c r="BI61" i="37"/>
  <c r="BG61" i="37"/>
  <c r="BI61" i="40"/>
  <c r="BG61" i="40"/>
  <c r="AJ60" i="48"/>
  <c r="BG61" i="47"/>
  <c r="BI61" i="47"/>
  <c r="AJ60" i="45"/>
  <c r="BJ17" i="24"/>
  <c r="AJ60" i="39"/>
  <c r="BI61" i="38"/>
  <c r="BG61" i="38"/>
  <c r="BJ17" i="50"/>
  <c r="BG61" i="45"/>
  <c r="BI61" i="45"/>
  <c r="BJ9" i="24"/>
  <c r="BI59" i="43"/>
  <c r="BG59" i="43"/>
  <c r="AJ58" i="41"/>
  <c r="BI59" i="40"/>
  <c r="BG59" i="40"/>
  <c r="AJ58" i="44"/>
  <c r="AJ58" i="35"/>
  <c r="BJ8" i="50"/>
  <c r="BI54" i="48"/>
  <c r="BG54" i="48"/>
  <c r="BI54" i="44"/>
  <c r="BG54" i="44"/>
  <c r="BI54" i="39"/>
  <c r="BG54" i="39"/>
  <c r="BG54" i="43"/>
  <c r="BI54" i="43"/>
  <c r="BI52" i="38"/>
  <c r="BG52" i="38"/>
  <c r="BI59" i="48"/>
  <c r="BG59" i="48"/>
  <c r="AJ58" i="38"/>
  <c r="BJ15" i="38"/>
  <c r="BI59" i="24"/>
  <c r="BG59" i="24"/>
  <c r="BI59" i="49"/>
  <c r="BG59" i="49"/>
  <c r="BI57" i="34"/>
  <c r="BG57" i="34"/>
  <c r="BI54" i="41"/>
  <c r="BG54" i="41"/>
  <c r="BG49" i="48"/>
  <c r="BI49" i="48"/>
  <c r="BI52" i="41"/>
  <c r="BG52" i="41"/>
  <c r="BI52" i="37"/>
  <c r="BG52" i="37"/>
  <c r="BI54" i="47"/>
  <c r="BG54" i="47"/>
  <c r="AJ53" i="38"/>
  <c r="AJ53" i="43"/>
  <c r="BI54" i="45"/>
  <c r="BG54" i="45"/>
  <c r="BI59" i="46"/>
  <c r="BG59" i="46"/>
  <c r="AJ58" i="49"/>
  <c r="BJ5" i="50"/>
  <c r="BI49" i="38"/>
  <c r="BG49" i="38"/>
  <c r="BI49" i="47"/>
  <c r="BG49" i="47"/>
  <c r="BI52" i="50"/>
  <c r="BG52" i="50"/>
  <c r="BG52" i="48"/>
  <c r="BI52" i="48"/>
  <c r="BI54" i="38"/>
  <c r="BG54" i="38"/>
  <c r="BI54" i="46"/>
  <c r="BG54" i="46"/>
  <c r="AJ53" i="41"/>
  <c r="BI54" i="50"/>
  <c r="BG54" i="50"/>
  <c r="BI59" i="45"/>
  <c r="BG59" i="45"/>
  <c r="BG59" i="50"/>
  <c r="BI59" i="50"/>
  <c r="BI59" i="44"/>
  <c r="BG59" i="44"/>
  <c r="AJ58" i="39"/>
  <c r="AJ58" i="36"/>
  <c r="BJ15" i="39"/>
  <c r="BJ15" i="46"/>
  <c r="BI49" i="41"/>
  <c r="BG49" i="41"/>
  <c r="BI49" i="37"/>
  <c r="BG49" i="37"/>
  <c r="BI49" i="49"/>
  <c r="BG49" i="49"/>
  <c r="BI52" i="40"/>
  <c r="BG52" i="40"/>
  <c r="BI54" i="49"/>
  <c r="BG54" i="49"/>
  <c r="AJ53" i="50"/>
  <c r="BI54" i="40"/>
  <c r="BG54" i="40"/>
  <c r="AJ53" i="46"/>
  <c r="BX30" i="37"/>
  <c r="BZ31" i="37"/>
  <c r="AC21" i="44"/>
  <c r="AK55" i="44"/>
  <c r="AL55" i="44" s="1"/>
  <c r="AC32" i="38"/>
  <c r="N77" i="48"/>
  <c r="N77" i="49"/>
  <c r="N77" i="50"/>
  <c r="N77" i="47"/>
  <c r="BX30" i="47"/>
  <c r="BZ31" i="47"/>
  <c r="CE29" i="24"/>
  <c r="CE29" i="35"/>
  <c r="E33" i="35"/>
  <c r="AL42" i="46"/>
  <c r="AL43" i="46" s="1"/>
  <c r="AM41" i="46"/>
  <c r="H30" i="34"/>
  <c r="BJ24" i="34"/>
  <c r="B27" i="52"/>
  <c r="F7" i="49"/>
  <c r="F7" i="48"/>
  <c r="F7" i="50"/>
  <c r="F7" i="47"/>
  <c r="F7" i="36"/>
  <c r="F7" i="39"/>
  <c r="B26" i="52"/>
  <c r="F7" i="43"/>
  <c r="F7" i="34"/>
  <c r="F7" i="37"/>
  <c r="F7" i="38"/>
  <c r="F7" i="46"/>
  <c r="F7" i="45"/>
  <c r="F7" i="44"/>
  <c r="F7" i="41"/>
  <c r="F7" i="35"/>
  <c r="F7" i="40"/>
  <c r="F8" i="24"/>
  <c r="B28" i="52"/>
  <c r="AJ60" i="34"/>
  <c r="AJ48" i="40"/>
  <c r="AJ48" i="47"/>
  <c r="BI52" i="46"/>
  <c r="BG52" i="46"/>
  <c r="AJ51" i="47"/>
  <c r="AJ51" i="48"/>
  <c r="AJ51" i="49"/>
  <c r="AJ51" i="35"/>
  <c r="P31" i="39"/>
  <c r="P31" i="49"/>
  <c r="P31" i="44"/>
  <c r="AL42" i="41"/>
  <c r="AL43" i="41" s="1"/>
  <c r="AM41" i="41"/>
  <c r="AN40" i="41"/>
  <c r="AJ60" i="41"/>
  <c r="AJ64" i="46"/>
  <c r="AG4" i="49"/>
  <c r="AE26" i="49" s="1"/>
  <c r="AF26" i="49" s="1"/>
  <c r="AG26" i="49" s="1"/>
  <c r="AG4" i="48"/>
  <c r="AG4" i="41"/>
  <c r="M3" i="36"/>
  <c r="M3" i="44"/>
  <c r="AG4" i="38"/>
  <c r="M3" i="40"/>
  <c r="M3" i="48"/>
  <c r="M3" i="51"/>
  <c r="A11" i="51" s="1"/>
  <c r="DA211" i="51" s="1"/>
  <c r="M3" i="47"/>
  <c r="M49" i="48"/>
  <c r="BC11" i="45"/>
  <c r="M3" i="24"/>
  <c r="BC11" i="50"/>
  <c r="M3" i="39"/>
  <c r="M49" i="50"/>
  <c r="BC11" i="48"/>
  <c r="BC11" i="47"/>
  <c r="M49" i="47"/>
  <c r="BC11" i="49"/>
  <c r="BC11" i="46"/>
  <c r="M49" i="46"/>
  <c r="BC11" i="41"/>
  <c r="BC11" i="34"/>
  <c r="AG4" i="50"/>
  <c r="AE27" i="50" s="1"/>
  <c r="AF27" i="50" s="1"/>
  <c r="AG27" i="50" s="1"/>
  <c r="AG4" i="43"/>
  <c r="M3" i="43"/>
  <c r="AG4" i="47"/>
  <c r="M3" i="45"/>
  <c r="AG4" i="24"/>
  <c r="M49" i="45"/>
  <c r="BC11" i="36"/>
  <c r="BC11" i="35"/>
  <c r="AG4" i="34"/>
  <c r="AG4" i="46"/>
  <c r="AE27" i="46" s="1"/>
  <c r="AF27" i="46" s="1"/>
  <c r="AG27" i="46" s="1"/>
  <c r="AG4" i="39"/>
  <c r="M3" i="46"/>
  <c r="AG4" i="40"/>
  <c r="M3" i="49"/>
  <c r="M49" i="49"/>
  <c r="M49" i="44"/>
  <c r="M49" i="43"/>
  <c r="BC11" i="43"/>
  <c r="BC11" i="39"/>
  <c r="BC11" i="38"/>
  <c r="BC11" i="37"/>
  <c r="AG4" i="45"/>
  <c r="AE30" i="45" s="1"/>
  <c r="AF30" i="45" s="1"/>
  <c r="AG30" i="45" s="1"/>
  <c r="AG4" i="44"/>
  <c r="AE18" i="44" s="1"/>
  <c r="AF18" i="44" s="1"/>
  <c r="AG18" i="44" s="1"/>
  <c r="AG4" i="37"/>
  <c r="M3" i="50"/>
  <c r="M3" i="37"/>
  <c r="BC11" i="44"/>
  <c r="BC11" i="40"/>
  <c r="BC11" i="24"/>
  <c r="AG4" i="35"/>
  <c r="M3" i="34"/>
  <c r="M3" i="38"/>
  <c r="AG4" i="36"/>
  <c r="M3" i="41"/>
  <c r="M3" i="35"/>
  <c r="AJ51" i="43"/>
  <c r="AJ51" i="37"/>
  <c r="BI52" i="43"/>
  <c r="BG52" i="43"/>
  <c r="BI50" i="34"/>
  <c r="BG50" i="34"/>
  <c r="BG52" i="47"/>
  <c r="BI52" i="47"/>
  <c r="BJ8" i="24"/>
  <c r="E33" i="34"/>
  <c r="E107" i="52"/>
  <c r="AP41" i="50"/>
  <c r="AO42" i="50"/>
  <c r="AO43" i="50" s="1"/>
  <c r="AQ40" i="50"/>
  <c r="AP42" i="50" s="1"/>
  <c r="AP43" i="50" s="1"/>
  <c r="AE33" i="44"/>
  <c r="AF33" i="44" s="1"/>
  <c r="AG33" i="44" s="1"/>
  <c r="AJ67" i="44"/>
  <c r="B39" i="52"/>
  <c r="J7" i="50"/>
  <c r="J7" i="47"/>
  <c r="J7" i="49"/>
  <c r="J7" i="48"/>
  <c r="J7" i="44"/>
  <c r="J7" i="46"/>
  <c r="J7" i="45"/>
  <c r="J7" i="40"/>
  <c r="J7" i="37"/>
  <c r="J7" i="43"/>
  <c r="J7" i="41"/>
  <c r="J7" i="39"/>
  <c r="J7" i="38"/>
  <c r="J7" i="36"/>
  <c r="AJ60" i="49"/>
  <c r="AJ64" i="50"/>
  <c r="J77" i="49"/>
  <c r="J77" i="48"/>
  <c r="J77" i="50"/>
  <c r="J77" i="45"/>
  <c r="J77" i="46"/>
  <c r="J77" i="47"/>
  <c r="L77" i="47"/>
  <c r="L77" i="46"/>
  <c r="L77" i="48"/>
  <c r="L77" i="50"/>
  <c r="L77" i="49"/>
  <c r="T7" i="49"/>
  <c r="T7" i="48"/>
  <c r="T7" i="50"/>
  <c r="T7" i="47"/>
  <c r="T8" i="40"/>
  <c r="T7" i="43"/>
  <c r="T7" i="41"/>
  <c r="T7" i="46"/>
  <c r="T7" i="45"/>
  <c r="T7" i="44"/>
  <c r="B68" i="52"/>
  <c r="B71" i="52"/>
  <c r="B70" i="52"/>
  <c r="B67" i="52"/>
  <c r="B66" i="52"/>
  <c r="B69" i="52"/>
  <c r="BI52" i="45"/>
  <c r="BG52" i="45"/>
  <c r="AJ51" i="38"/>
  <c r="BI52" i="44"/>
  <c r="BG52" i="44"/>
  <c r="AJ51" i="40"/>
  <c r="BI52" i="35"/>
  <c r="BG52" i="35"/>
  <c r="AJ51" i="50"/>
  <c r="CE29" i="36"/>
  <c r="AJ58" i="34"/>
  <c r="AJ67" i="46"/>
  <c r="AE33" i="46"/>
  <c r="AF33" i="46" s="1"/>
  <c r="AG33" i="46" s="1"/>
  <c r="C46" i="52"/>
  <c r="L8" i="50"/>
  <c r="L8" i="47"/>
  <c r="L8" i="49"/>
  <c r="L8" i="45"/>
  <c r="L8" i="48"/>
  <c r="L8" i="46"/>
  <c r="L8" i="44"/>
  <c r="L8" i="39"/>
  <c r="L8" i="38"/>
  <c r="M31" i="36"/>
  <c r="DF231" i="36" s="1"/>
  <c r="C45" i="52"/>
  <c r="L8" i="40"/>
  <c r="M28" i="36"/>
  <c r="DF228" i="36" s="1"/>
  <c r="L8" i="41"/>
  <c r="M29" i="36"/>
  <c r="DF229" i="36" s="1"/>
  <c r="L8" i="43"/>
  <c r="L8" i="37"/>
  <c r="C42" i="52"/>
  <c r="C43" i="52"/>
  <c r="C47" i="52"/>
  <c r="C44" i="52"/>
  <c r="BI49" i="43"/>
  <c r="BG49" i="43"/>
  <c r="BG49" i="44"/>
  <c r="BI49" i="44"/>
  <c r="BJ8" i="45"/>
  <c r="AJ51" i="39"/>
  <c r="AJ51" i="44"/>
  <c r="BG52" i="49"/>
  <c r="BI52" i="49"/>
  <c r="AJ51" i="41"/>
  <c r="AJ51" i="46"/>
  <c r="AJ51" i="36"/>
  <c r="BI52" i="36"/>
  <c r="BG52" i="36"/>
  <c r="E33" i="49"/>
  <c r="AL42" i="24"/>
  <c r="AL43" i="24" s="1"/>
  <c r="AN40" i="24"/>
  <c r="AJ48" i="24"/>
  <c r="T28" i="49"/>
  <c r="T28" i="46"/>
  <c r="T28" i="45"/>
  <c r="T28" i="50"/>
  <c r="T28" i="41"/>
  <c r="T28" i="43"/>
  <c r="T28" i="47"/>
  <c r="T28" i="44"/>
  <c r="T28" i="48"/>
  <c r="BZ31" i="24"/>
  <c r="J4" i="51"/>
  <c r="J50" i="50"/>
  <c r="J4" i="48"/>
  <c r="J4" i="46"/>
  <c r="J4" i="47"/>
  <c r="J4" i="45"/>
  <c r="J4" i="44"/>
  <c r="J50" i="43"/>
  <c r="J4" i="50"/>
  <c r="J50" i="47"/>
  <c r="J50" i="46"/>
  <c r="J4" i="38"/>
  <c r="J4" i="37"/>
  <c r="J4" i="36"/>
  <c r="J50" i="48"/>
  <c r="J50" i="45"/>
  <c r="J4" i="43"/>
  <c r="J4" i="41"/>
  <c r="J4" i="49"/>
  <c r="J50" i="44"/>
  <c r="J4" i="35"/>
  <c r="J4" i="34"/>
  <c r="J4" i="24"/>
  <c r="J4" i="39"/>
  <c r="J50" i="49"/>
  <c r="J4" i="40"/>
  <c r="J30" i="35"/>
  <c r="DE230" i="35" s="1"/>
  <c r="BJ24" i="35"/>
  <c r="E27" i="52"/>
  <c r="E29" i="52"/>
  <c r="AJ62" i="35"/>
  <c r="AE32" i="34"/>
  <c r="AF32" i="34" s="1"/>
  <c r="AG32" i="34" s="1"/>
  <c r="AJ66" i="34"/>
  <c r="AM42" i="46"/>
  <c r="AM43" i="46" s="1"/>
  <c r="AO40" i="46"/>
  <c r="AN41" i="46"/>
  <c r="AO41" i="46"/>
  <c r="CF29" i="50"/>
  <c r="CE29" i="43"/>
  <c r="CE29" i="47"/>
  <c r="CE29" i="40"/>
  <c r="N29" i="40"/>
  <c r="N29" i="44"/>
  <c r="N29" i="45"/>
  <c r="N29" i="47"/>
  <c r="N29" i="49"/>
  <c r="N29" i="41"/>
  <c r="N29" i="48"/>
  <c r="N29" i="46"/>
  <c r="N29" i="43"/>
  <c r="N29" i="38"/>
  <c r="N29" i="39"/>
  <c r="N29" i="50"/>
  <c r="T29" i="44"/>
  <c r="T29" i="50"/>
  <c r="T29" i="46"/>
  <c r="T29" i="43"/>
  <c r="T29" i="45"/>
  <c r="T29" i="41"/>
  <c r="T29" i="48"/>
  <c r="T29" i="47"/>
  <c r="T29" i="49"/>
  <c r="CE29" i="37"/>
  <c r="CE29" i="41"/>
  <c r="E94" i="52"/>
  <c r="E95" i="52" s="1"/>
  <c r="E93" i="52"/>
  <c r="BX30" i="38"/>
  <c r="E63" i="52"/>
  <c r="E64" i="52"/>
  <c r="E65" i="52" s="1"/>
  <c r="M59" i="50"/>
  <c r="M59" i="49"/>
  <c r="M59" i="48"/>
  <c r="M59" i="47"/>
  <c r="M59" i="46"/>
  <c r="O62" i="50"/>
  <c r="O62" i="47"/>
  <c r="AA19" i="47" s="1"/>
  <c r="O62" i="49"/>
  <c r="O62" i="48"/>
  <c r="M77" i="47"/>
  <c r="M77" i="46"/>
  <c r="M77" i="48"/>
  <c r="M77" i="50"/>
  <c r="M77" i="49"/>
  <c r="M57" i="47"/>
  <c r="M57" i="46"/>
  <c r="AA14" i="46" s="1"/>
  <c r="M57" i="49"/>
  <c r="M78" i="45"/>
  <c r="DF232" i="45" s="1"/>
  <c r="M57" i="48"/>
  <c r="M57" i="50"/>
  <c r="N31" i="47"/>
  <c r="N31" i="38"/>
  <c r="N31" i="41"/>
  <c r="N31" i="49"/>
  <c r="N31" i="39"/>
  <c r="N31" i="50"/>
  <c r="N31" i="40"/>
  <c r="N31" i="43"/>
  <c r="N31" i="46"/>
  <c r="N31" i="44"/>
  <c r="N31" i="45"/>
  <c r="N31" i="48"/>
  <c r="O77" i="50"/>
  <c r="O77" i="47"/>
  <c r="O77" i="49"/>
  <c r="O77" i="48"/>
  <c r="O69" i="49"/>
  <c r="O69" i="47"/>
  <c r="AA26" i="47" s="1"/>
  <c r="O69" i="50"/>
  <c r="O69" i="48"/>
  <c r="O64" i="50"/>
  <c r="O64" i="48"/>
  <c r="O64" i="49"/>
  <c r="O64" i="47"/>
  <c r="BJ24" i="36"/>
  <c r="L30" i="36"/>
  <c r="R29" i="45"/>
  <c r="R29" i="47"/>
  <c r="R29" i="49"/>
  <c r="R29" i="41"/>
  <c r="R29" i="44"/>
  <c r="R29" i="50"/>
  <c r="R29" i="43"/>
  <c r="R29" i="46"/>
  <c r="R29" i="40"/>
  <c r="R29" i="48"/>
  <c r="CE29" i="39"/>
  <c r="BX30" i="45"/>
  <c r="BZ31" i="45"/>
  <c r="BX30" i="39"/>
  <c r="BZ31" i="39"/>
  <c r="AG33" i="47"/>
  <c r="M66" i="46"/>
  <c r="M66" i="48"/>
  <c r="M66" i="47"/>
  <c r="M66" i="50"/>
  <c r="M66" i="49"/>
  <c r="O71" i="49"/>
  <c r="O71" i="47"/>
  <c r="O71" i="48"/>
  <c r="O71" i="50"/>
  <c r="M58" i="47"/>
  <c r="M58" i="49"/>
  <c r="M58" i="48"/>
  <c r="M58" i="50"/>
  <c r="M58" i="46"/>
  <c r="AA15" i="46" s="1"/>
  <c r="V31" i="49"/>
  <c r="V31" i="47"/>
  <c r="F77" i="44"/>
  <c r="F77" i="46"/>
  <c r="V31" i="50"/>
  <c r="V31" i="43"/>
  <c r="F77" i="49"/>
  <c r="F77" i="48"/>
  <c r="V31" i="46"/>
  <c r="F77" i="43"/>
  <c r="F77" i="45"/>
  <c r="V31" i="45"/>
  <c r="F77" i="47"/>
  <c r="V31" i="44"/>
  <c r="F77" i="50"/>
  <c r="V31" i="48"/>
  <c r="BX30" i="46"/>
  <c r="BZ31" i="46"/>
  <c r="M71" i="46"/>
  <c r="M71" i="50"/>
  <c r="M71" i="47"/>
  <c r="M71" i="48"/>
  <c r="M71" i="49"/>
  <c r="O68" i="50"/>
  <c r="O68" i="48"/>
  <c r="O68" i="47"/>
  <c r="AA25" i="47" s="1"/>
  <c r="O68" i="49"/>
  <c r="O57" i="49"/>
  <c r="O57" i="48"/>
  <c r="O78" i="46"/>
  <c r="DF232" i="46" s="1"/>
  <c r="O57" i="47"/>
  <c r="AA14" i="47" s="1"/>
  <c r="O57" i="50"/>
  <c r="CA31" i="50"/>
  <c r="BY30" i="50"/>
  <c r="O74" i="50"/>
  <c r="O74" i="49"/>
  <c r="O74" i="48"/>
  <c r="O74" i="47"/>
  <c r="AA31" i="47" s="1"/>
  <c r="AC31" i="49"/>
  <c r="AK65" i="49"/>
  <c r="AL65" i="49" s="1"/>
  <c r="AC25" i="39"/>
  <c r="AK59" i="39"/>
  <c r="AL59" i="39" s="1"/>
  <c r="J8" i="50"/>
  <c r="J8" i="48"/>
  <c r="J8" i="43"/>
  <c r="J8" i="44"/>
  <c r="K29" i="35"/>
  <c r="DF229" i="35" s="1"/>
  <c r="C37" i="52"/>
  <c r="J8" i="49"/>
  <c r="J8" i="41"/>
  <c r="J8" i="46"/>
  <c r="J8" i="45"/>
  <c r="J8" i="39"/>
  <c r="J8" i="37"/>
  <c r="C40" i="52"/>
  <c r="C41" i="52"/>
  <c r="K30" i="35"/>
  <c r="DF230" i="35" s="1"/>
  <c r="C38" i="52"/>
  <c r="J8" i="47"/>
  <c r="J8" i="38"/>
  <c r="C39" i="52"/>
  <c r="J8" i="36"/>
  <c r="J8" i="40"/>
  <c r="C36" i="52"/>
  <c r="K28" i="35"/>
  <c r="DF228" i="35" s="1"/>
  <c r="AJ62" i="34"/>
  <c r="AL42" i="36"/>
  <c r="AL43" i="36" s="1"/>
  <c r="AN40" i="36"/>
  <c r="AM41" i="36"/>
  <c r="AN41" i="36"/>
  <c r="BX30" i="35"/>
  <c r="BZ31" i="35"/>
  <c r="E75" i="52"/>
  <c r="M72" i="46"/>
  <c r="M72" i="50"/>
  <c r="M72" i="47"/>
  <c r="M72" i="48"/>
  <c r="M72" i="49"/>
  <c r="O67" i="49"/>
  <c r="O67" i="47"/>
  <c r="AA24" i="47" s="1"/>
  <c r="O67" i="48"/>
  <c r="O67" i="50"/>
  <c r="M63" i="50"/>
  <c r="M63" i="47"/>
  <c r="M63" i="49"/>
  <c r="M63" i="46"/>
  <c r="M63" i="48"/>
  <c r="E70" i="52"/>
  <c r="E71" i="52" s="1"/>
  <c r="E69" i="52"/>
  <c r="BZ31" i="34"/>
  <c r="E118" i="52"/>
  <c r="E119" i="52" s="1"/>
  <c r="E117" i="52"/>
  <c r="E81" i="52"/>
  <c r="E82" i="52"/>
  <c r="E83" i="52" s="1"/>
  <c r="O58" i="47"/>
  <c r="O58" i="49"/>
  <c r="O58" i="48"/>
  <c r="O58" i="50"/>
  <c r="N75" i="50"/>
  <c r="N75" i="47"/>
  <c r="N75" i="48"/>
  <c r="N75" i="49"/>
  <c r="BJ5" i="24"/>
  <c r="CE29" i="45"/>
  <c r="AJ67" i="50"/>
  <c r="AE33" i="50"/>
  <c r="AF33" i="50" s="1"/>
  <c r="AG33" i="50" s="1"/>
  <c r="B72" i="52"/>
  <c r="V7" i="50"/>
  <c r="V7" i="46"/>
  <c r="V7" i="48"/>
  <c r="V7" i="44"/>
  <c r="V7" i="47"/>
  <c r="F53" i="47"/>
  <c r="V7" i="45"/>
  <c r="V7" i="43"/>
  <c r="F53" i="49"/>
  <c r="F53" i="46"/>
  <c r="F53" i="45"/>
  <c r="F53" i="43"/>
  <c r="B75" i="52"/>
  <c r="V7" i="49"/>
  <c r="F53" i="44"/>
  <c r="F53" i="48"/>
  <c r="B76" i="52"/>
  <c r="V8" i="41"/>
  <c r="B77" i="52"/>
  <c r="F53" i="50"/>
  <c r="B74" i="52"/>
  <c r="B73" i="52"/>
  <c r="AJ62" i="50"/>
  <c r="AJ66" i="35"/>
  <c r="AE32" i="35"/>
  <c r="AF32" i="35" s="1"/>
  <c r="AG32" i="35" s="1"/>
  <c r="AN40" i="37"/>
  <c r="AM41" i="37"/>
  <c r="AL42" i="37"/>
  <c r="AL43" i="37" s="1"/>
  <c r="AN41" i="37"/>
  <c r="CE29" i="34"/>
  <c r="CE29" i="44"/>
  <c r="CE29" i="46"/>
  <c r="T30" i="49"/>
  <c r="T30" i="45"/>
  <c r="T30" i="46"/>
  <c r="T30" i="44"/>
  <c r="T30" i="50"/>
  <c r="T30" i="48"/>
  <c r="T30" i="47"/>
  <c r="T30" i="43"/>
  <c r="T30" i="41"/>
  <c r="H77" i="47"/>
  <c r="H77" i="44"/>
  <c r="H77" i="50"/>
  <c r="H77" i="49"/>
  <c r="H77" i="45"/>
  <c r="H77" i="46"/>
  <c r="H77" i="48"/>
  <c r="CE29" i="48"/>
  <c r="R75" i="50"/>
  <c r="R75" i="49"/>
  <c r="CE29" i="38"/>
  <c r="AO40" i="44"/>
  <c r="AM42" i="44"/>
  <c r="AM43" i="44" s="1"/>
  <c r="AN41" i="44"/>
  <c r="E34" i="52"/>
  <c r="E35" i="52" s="1"/>
  <c r="E33" i="52"/>
  <c r="BX30" i="41"/>
  <c r="BZ31" i="41"/>
  <c r="M65" i="47"/>
  <c r="M65" i="46"/>
  <c r="M65" i="48"/>
  <c r="M65" i="50"/>
  <c r="M65" i="49"/>
  <c r="M68" i="46"/>
  <c r="M68" i="48"/>
  <c r="M68" i="50"/>
  <c r="M68" i="49"/>
  <c r="M68" i="47"/>
  <c r="W78" i="50"/>
  <c r="DF232" i="50" s="1"/>
  <c r="O76" i="48"/>
  <c r="O76" i="50"/>
  <c r="O76" i="49"/>
  <c r="O76" i="47"/>
  <c r="AA33" i="47" s="1"/>
  <c r="M60" i="46"/>
  <c r="AA17" i="46" s="1"/>
  <c r="M60" i="48"/>
  <c r="M60" i="47"/>
  <c r="M60" i="50"/>
  <c r="M60" i="49"/>
  <c r="M73" i="48"/>
  <c r="M73" i="49"/>
  <c r="M73" i="46"/>
  <c r="AA30" i="46" s="1"/>
  <c r="AE30" i="46" s="1"/>
  <c r="AF30" i="46" s="1"/>
  <c r="AG30" i="46" s="1"/>
  <c r="M73" i="47"/>
  <c r="M73" i="50"/>
  <c r="M76" i="46"/>
  <c r="AA33" i="46" s="1"/>
  <c r="M76" i="49"/>
  <c r="M76" i="50"/>
  <c r="M76" i="47"/>
  <c r="M76" i="48"/>
  <c r="I29" i="47"/>
  <c r="I29" i="48"/>
  <c r="I29" i="36"/>
  <c r="I29" i="50"/>
  <c r="I29" i="35"/>
  <c r="AA32" i="35" s="1"/>
  <c r="I29" i="40"/>
  <c r="I29" i="39"/>
  <c r="I29" i="43"/>
  <c r="I29" i="46"/>
  <c r="I29" i="41"/>
  <c r="I29" i="49"/>
  <c r="I29" i="37"/>
  <c r="I29" i="45"/>
  <c r="I29" i="38"/>
  <c r="I29" i="44"/>
  <c r="O70" i="48"/>
  <c r="O70" i="47"/>
  <c r="AA27" i="47" s="1"/>
  <c r="AE27" i="47" s="1"/>
  <c r="AF27" i="47" s="1"/>
  <c r="AG27" i="47" s="1"/>
  <c r="O70" i="49"/>
  <c r="O70" i="50"/>
  <c r="BX30" i="49"/>
  <c r="BZ31" i="49"/>
  <c r="BX30" i="43"/>
  <c r="BZ31" i="43"/>
  <c r="BZ31" i="36"/>
  <c r="O59" i="49"/>
  <c r="O59" i="47"/>
  <c r="O59" i="48"/>
  <c r="O59" i="50"/>
  <c r="AQ40" i="49"/>
  <c r="AP42" i="49" s="1"/>
  <c r="AP43" i="49" s="1"/>
  <c r="AO42" i="49"/>
  <c r="AO43" i="49" s="1"/>
  <c r="C62" i="52" l="1"/>
  <c r="R8" i="49"/>
  <c r="C64" i="52"/>
  <c r="S28" i="39"/>
  <c r="R8" i="48"/>
  <c r="R8" i="44"/>
  <c r="C61" i="52"/>
  <c r="R8" i="47"/>
  <c r="R8" i="40"/>
  <c r="C65" i="52"/>
  <c r="S30" i="39"/>
  <c r="C60" i="52"/>
  <c r="S29" i="39"/>
  <c r="R8" i="45"/>
  <c r="R8" i="46"/>
  <c r="C63" i="52"/>
  <c r="R8" i="50"/>
  <c r="R8" i="41"/>
  <c r="R8" i="43"/>
  <c r="DE228" i="37"/>
  <c r="O28" i="37"/>
  <c r="O31" i="46"/>
  <c r="O31" i="50"/>
  <c r="O31" i="39"/>
  <c r="O31" i="44"/>
  <c r="DF229" i="37"/>
  <c r="O29" i="49"/>
  <c r="O29" i="43"/>
  <c r="DE230" i="36"/>
  <c r="M30" i="36"/>
  <c r="DF230" i="36" s="1"/>
  <c r="DE230" i="34"/>
  <c r="I30" i="34"/>
  <c r="DE228" i="34"/>
  <c r="I28" i="34"/>
  <c r="H31" i="50"/>
  <c r="I31" i="34"/>
  <c r="AK66" i="49"/>
  <c r="AL66" i="49" s="1"/>
  <c r="AK58" i="46"/>
  <c r="AL58" i="46" s="1"/>
  <c r="AC22" i="39"/>
  <c r="AC18" i="44"/>
  <c r="H31" i="47"/>
  <c r="H31" i="43"/>
  <c r="H31" i="45"/>
  <c r="H31" i="49"/>
  <c r="H31" i="40"/>
  <c r="H31" i="48"/>
  <c r="DE231" i="34"/>
  <c r="H31" i="44"/>
  <c r="H31" i="38"/>
  <c r="H31" i="37"/>
  <c r="AK57" i="50"/>
  <c r="AL57" i="50" s="1"/>
  <c r="AK53" i="50"/>
  <c r="AL53" i="50" s="1"/>
  <c r="AC15" i="50"/>
  <c r="BJ17" i="38"/>
  <c r="BJ13" i="50"/>
  <c r="AC26" i="50"/>
  <c r="BJ9" i="50"/>
  <c r="BJ16" i="49"/>
  <c r="BJ5" i="49"/>
  <c r="AC28" i="44"/>
  <c r="BJ13" i="39"/>
  <c r="BJ9" i="44"/>
  <c r="AK55" i="46"/>
  <c r="AL55" i="46" s="1"/>
  <c r="BJ15" i="50"/>
  <c r="BJ6" i="49"/>
  <c r="AK49" i="49"/>
  <c r="AL49" i="49" s="1"/>
  <c r="AE30" i="40"/>
  <c r="AF30" i="40" s="1"/>
  <c r="AG30" i="40" s="1"/>
  <c r="AC26" i="24"/>
  <c r="AE29" i="24"/>
  <c r="AF29" i="24" s="1"/>
  <c r="AG29" i="24" s="1"/>
  <c r="AE28" i="24"/>
  <c r="AF28" i="24" s="1"/>
  <c r="AG28" i="24" s="1"/>
  <c r="AE30" i="24"/>
  <c r="AF30" i="24" s="1"/>
  <c r="AG30" i="24" s="1"/>
  <c r="AE27" i="24"/>
  <c r="AF27" i="24" s="1"/>
  <c r="AG27" i="24" s="1"/>
  <c r="AE26" i="38"/>
  <c r="AF26" i="38" s="1"/>
  <c r="AG26" i="38" s="1"/>
  <c r="AE27" i="38"/>
  <c r="AF27" i="38" s="1"/>
  <c r="AG27" i="38" s="1"/>
  <c r="AE27" i="44"/>
  <c r="AF27" i="44" s="1"/>
  <c r="AG27" i="44" s="1"/>
  <c r="AE30" i="39"/>
  <c r="AF30" i="39" s="1"/>
  <c r="AG30" i="39" s="1"/>
  <c r="AE27" i="40"/>
  <c r="AF27" i="40" s="1"/>
  <c r="AG27" i="40" s="1"/>
  <c r="AE27" i="45"/>
  <c r="AF27" i="45" s="1"/>
  <c r="AG27" i="45" s="1"/>
  <c r="AE28" i="44"/>
  <c r="AF28" i="44" s="1"/>
  <c r="AG28" i="44" s="1"/>
  <c r="AN42" i="35"/>
  <c r="AN43" i="35" s="1"/>
  <c r="AO41" i="35"/>
  <c r="AP40" i="35"/>
  <c r="AP41" i="35"/>
  <c r="AM42" i="38"/>
  <c r="AM43" i="38" s="1"/>
  <c r="AO40" i="38"/>
  <c r="AO41" i="38"/>
  <c r="AO40" i="43"/>
  <c r="AM42" i="43"/>
  <c r="AM43" i="43" s="1"/>
  <c r="AO41" i="43"/>
  <c r="AL47" i="24"/>
  <c r="BJ19" i="35"/>
  <c r="AA28" i="47"/>
  <c r="AE28" i="47" s="1"/>
  <c r="AF28" i="47" s="1"/>
  <c r="AG28" i="47" s="1"/>
  <c r="BJ19" i="47"/>
  <c r="AA30" i="48"/>
  <c r="AC30" i="48" s="1"/>
  <c r="BJ21" i="48"/>
  <c r="AA29" i="48"/>
  <c r="AC29" i="48" s="1"/>
  <c r="BJ20" i="48"/>
  <c r="BJ21" i="39"/>
  <c r="AA28" i="45"/>
  <c r="BJ19" i="45"/>
  <c r="AA28" i="39"/>
  <c r="AC28" i="39" s="1"/>
  <c r="BJ19" i="39"/>
  <c r="AA30" i="44"/>
  <c r="BO24" i="44" s="1"/>
  <c r="BJ21" i="44"/>
  <c r="AA29" i="47"/>
  <c r="BJ20" i="47"/>
  <c r="AA28" i="49"/>
  <c r="BO22" i="49" s="1"/>
  <c r="BJ19" i="49"/>
  <c r="BJ20" i="38"/>
  <c r="AA30" i="47"/>
  <c r="BO24" i="47" s="1"/>
  <c r="BJ21" i="47"/>
  <c r="AA29" i="50"/>
  <c r="BP23" i="50" s="1"/>
  <c r="BJ20" i="50"/>
  <c r="AA29" i="49"/>
  <c r="BO23" i="49" s="1"/>
  <c r="BJ20" i="49"/>
  <c r="BJ20" i="35"/>
  <c r="AA29" i="44"/>
  <c r="AE29" i="44" s="1"/>
  <c r="AF29" i="44" s="1"/>
  <c r="AG29" i="44" s="1"/>
  <c r="BJ20" i="44"/>
  <c r="AA29" i="45"/>
  <c r="BO23" i="45" s="1"/>
  <c r="BJ20" i="45"/>
  <c r="AA29" i="39"/>
  <c r="AC29" i="39" s="1"/>
  <c r="BJ20" i="39"/>
  <c r="BJ21" i="46"/>
  <c r="BJ19" i="38"/>
  <c r="AA28" i="48"/>
  <c r="AC28" i="48" s="1"/>
  <c r="BJ19" i="48"/>
  <c r="AA30" i="50"/>
  <c r="BP24" i="50" s="1"/>
  <c r="BJ21" i="50"/>
  <c r="BJ21" i="35"/>
  <c r="AA29" i="46"/>
  <c r="AE29" i="46" s="1"/>
  <c r="AF29" i="46" s="1"/>
  <c r="AG29" i="46" s="1"/>
  <c r="BJ20" i="46"/>
  <c r="AA28" i="46"/>
  <c r="AE28" i="46" s="1"/>
  <c r="AF28" i="46" s="1"/>
  <c r="AG28" i="46" s="1"/>
  <c r="BJ19" i="46"/>
  <c r="BO23" i="47"/>
  <c r="BJ19" i="40"/>
  <c r="BJ20" i="40"/>
  <c r="AA30" i="49"/>
  <c r="BO24" i="49" s="1"/>
  <c r="BJ21" i="49"/>
  <c r="AA28" i="50"/>
  <c r="BP22" i="50" s="1"/>
  <c r="BJ19" i="50"/>
  <c r="BJ21" i="38"/>
  <c r="BJ18" i="40"/>
  <c r="BJ18" i="45"/>
  <c r="AE27" i="39"/>
  <c r="AF27" i="39" s="1"/>
  <c r="AG27" i="39" s="1"/>
  <c r="BJ18" i="39"/>
  <c r="AA27" i="48"/>
  <c r="AE27" i="48" s="1"/>
  <c r="AF27" i="48" s="1"/>
  <c r="AG27" i="48" s="1"/>
  <c r="BJ18" i="48"/>
  <c r="AC27" i="49"/>
  <c r="AE27" i="49"/>
  <c r="AF27" i="49" s="1"/>
  <c r="AG27" i="49" s="1"/>
  <c r="BJ18" i="47"/>
  <c r="BJ18" i="35"/>
  <c r="BJ18" i="44"/>
  <c r="Q79" i="47"/>
  <c r="U4" i="47" s="1"/>
  <c r="AC18" i="50"/>
  <c r="AK54" i="50"/>
  <c r="AL54" i="50" s="1"/>
  <c r="AC32" i="46"/>
  <c r="AK67" i="44"/>
  <c r="AL67" i="44" s="1"/>
  <c r="AC22" i="50"/>
  <c r="AK61" i="46"/>
  <c r="AL61" i="46" s="1"/>
  <c r="AA21" i="50"/>
  <c r="AC21" i="50" s="1"/>
  <c r="AC18" i="47"/>
  <c r="AK58" i="50"/>
  <c r="AL58" i="50" s="1"/>
  <c r="AK67" i="38"/>
  <c r="AL67" i="38" s="1"/>
  <c r="AC25" i="49"/>
  <c r="AK65" i="44"/>
  <c r="AL65" i="44" s="1"/>
  <c r="AC26" i="49"/>
  <c r="AC22" i="48"/>
  <c r="AC32" i="48"/>
  <c r="BO20" i="49"/>
  <c r="AK67" i="48"/>
  <c r="AL67" i="48" s="1"/>
  <c r="AC32" i="50"/>
  <c r="AC27" i="50"/>
  <c r="AC17" i="45"/>
  <c r="I78" i="45"/>
  <c r="DF232" i="43"/>
  <c r="AK48" i="49"/>
  <c r="AL48" i="49" s="1"/>
  <c r="AC32" i="45"/>
  <c r="S79" i="48"/>
  <c r="S79" i="50" s="1"/>
  <c r="DF232" i="48"/>
  <c r="AA25" i="50"/>
  <c r="AK59" i="50" s="1"/>
  <c r="AL59" i="50" s="1"/>
  <c r="I78" i="50"/>
  <c r="U78" i="50"/>
  <c r="DF232" i="49"/>
  <c r="AK67" i="45"/>
  <c r="AL67" i="45" s="1"/>
  <c r="T74" i="50"/>
  <c r="DE228" i="49"/>
  <c r="AC14" i="48"/>
  <c r="Q32" i="46"/>
  <c r="Q33" i="46" s="1"/>
  <c r="DF232" i="38"/>
  <c r="Q78" i="48"/>
  <c r="DF232" i="47"/>
  <c r="AK48" i="50"/>
  <c r="AL48" i="50" s="1"/>
  <c r="AK65" i="39"/>
  <c r="AL65" i="39" s="1"/>
  <c r="AC31" i="39"/>
  <c r="AK51" i="50"/>
  <c r="AL51" i="50" s="1"/>
  <c r="AC17" i="50"/>
  <c r="AM42" i="34"/>
  <c r="AM43" i="34" s="1"/>
  <c r="AO40" i="34"/>
  <c r="E33" i="45"/>
  <c r="L28" i="45"/>
  <c r="L28" i="47"/>
  <c r="L28" i="37"/>
  <c r="L28" i="40"/>
  <c r="L28" i="38"/>
  <c r="L28" i="43"/>
  <c r="L28" i="46"/>
  <c r="L28" i="49"/>
  <c r="L28" i="44"/>
  <c r="L28" i="50"/>
  <c r="L28" i="39"/>
  <c r="L28" i="41"/>
  <c r="L28" i="48"/>
  <c r="J28" i="38"/>
  <c r="J28" i="39"/>
  <c r="J28" i="48"/>
  <c r="J28" i="47"/>
  <c r="J28" i="36"/>
  <c r="J28" i="44"/>
  <c r="J28" i="40"/>
  <c r="J28" i="49"/>
  <c r="J28" i="50"/>
  <c r="J28" i="41"/>
  <c r="J28" i="43"/>
  <c r="J28" i="45"/>
  <c r="J28" i="46"/>
  <c r="J28" i="37"/>
  <c r="N28" i="38"/>
  <c r="N28" i="50"/>
  <c r="N28" i="49"/>
  <c r="N28" i="46"/>
  <c r="N28" i="41"/>
  <c r="N28" i="43"/>
  <c r="N28" i="47"/>
  <c r="N28" i="45"/>
  <c r="N28" i="48"/>
  <c r="N28" i="44"/>
  <c r="N28" i="39"/>
  <c r="N28" i="40"/>
  <c r="H74" i="50"/>
  <c r="H74" i="45"/>
  <c r="H74" i="49"/>
  <c r="H74" i="46"/>
  <c r="H74" i="44"/>
  <c r="H74" i="48"/>
  <c r="H74" i="47"/>
  <c r="N74" i="47"/>
  <c r="N74" i="50"/>
  <c r="N74" i="48"/>
  <c r="N74" i="49"/>
  <c r="F28" i="39"/>
  <c r="F28" i="34"/>
  <c r="F28" i="37"/>
  <c r="F28" i="49"/>
  <c r="F28" i="48"/>
  <c r="F28" i="46"/>
  <c r="F28" i="47"/>
  <c r="F28" i="35"/>
  <c r="F28" i="44"/>
  <c r="F28" i="45"/>
  <c r="F28" i="43"/>
  <c r="F28" i="36"/>
  <c r="F28" i="40"/>
  <c r="F28" i="38"/>
  <c r="F28" i="41"/>
  <c r="F28" i="50"/>
  <c r="H28" i="36"/>
  <c r="H28" i="47"/>
  <c r="H28" i="45"/>
  <c r="H28" i="35"/>
  <c r="H28" i="44"/>
  <c r="H28" i="43"/>
  <c r="H28" i="49"/>
  <c r="H28" i="40"/>
  <c r="H28" i="48"/>
  <c r="H28" i="37"/>
  <c r="H28" i="39"/>
  <c r="H28" i="41"/>
  <c r="H28" i="46"/>
  <c r="H28" i="50"/>
  <c r="H28" i="38"/>
  <c r="R74" i="49"/>
  <c r="R74" i="50"/>
  <c r="R28" i="47"/>
  <c r="R28" i="43"/>
  <c r="R28" i="44"/>
  <c r="R28" i="46"/>
  <c r="R28" i="49"/>
  <c r="R28" i="40"/>
  <c r="R28" i="45"/>
  <c r="R28" i="50"/>
  <c r="R28" i="41"/>
  <c r="R28" i="48"/>
  <c r="V28" i="50"/>
  <c r="F74" i="45"/>
  <c r="V28" i="48"/>
  <c r="V28" i="46"/>
  <c r="V28" i="43"/>
  <c r="F74" i="49"/>
  <c r="F74" i="44"/>
  <c r="F74" i="47"/>
  <c r="F74" i="50"/>
  <c r="V28" i="49"/>
  <c r="F74" i="48"/>
  <c r="V28" i="45"/>
  <c r="V28" i="44"/>
  <c r="V28" i="47"/>
  <c r="F74" i="43"/>
  <c r="F74" i="46"/>
  <c r="P74" i="49"/>
  <c r="P74" i="48"/>
  <c r="P74" i="50"/>
  <c r="P28" i="44"/>
  <c r="P28" i="41"/>
  <c r="P28" i="40"/>
  <c r="P28" i="50"/>
  <c r="P28" i="47"/>
  <c r="P28" i="49"/>
  <c r="P28" i="43"/>
  <c r="P28" i="39"/>
  <c r="P28" i="45"/>
  <c r="P28" i="48"/>
  <c r="P28" i="46"/>
  <c r="L74" i="46"/>
  <c r="L74" i="48"/>
  <c r="L74" i="50"/>
  <c r="L74" i="49"/>
  <c r="L74" i="47"/>
  <c r="J74" i="50"/>
  <c r="J74" i="45"/>
  <c r="J74" i="47"/>
  <c r="J74" i="48"/>
  <c r="J74" i="46"/>
  <c r="J74" i="49"/>
  <c r="E33" i="43"/>
  <c r="K79" i="44"/>
  <c r="K79" i="48" s="1"/>
  <c r="BJ15" i="44"/>
  <c r="AK59" i="44"/>
  <c r="AL59" i="44" s="1"/>
  <c r="AC24" i="24"/>
  <c r="AC25" i="24"/>
  <c r="K78" i="49"/>
  <c r="AE22" i="47"/>
  <c r="AF22" i="47" s="1"/>
  <c r="AG22" i="47" s="1"/>
  <c r="BJ5" i="48"/>
  <c r="AK60" i="46"/>
  <c r="AL60" i="46" s="1"/>
  <c r="BJ8" i="44"/>
  <c r="BJ10" i="39"/>
  <c r="AC22" i="24"/>
  <c r="AC23" i="24"/>
  <c r="AC17" i="49"/>
  <c r="AC20" i="48"/>
  <c r="U79" i="49"/>
  <c r="U79" i="50" s="1"/>
  <c r="AC19" i="46"/>
  <c r="BJ17" i="45"/>
  <c r="AE25" i="45"/>
  <c r="AF25" i="45" s="1"/>
  <c r="AG25" i="45" s="1"/>
  <c r="AC20" i="24"/>
  <c r="AC21" i="24"/>
  <c r="BJ17" i="35"/>
  <c r="K78" i="50"/>
  <c r="AK56" i="47"/>
  <c r="AL56" i="47" s="1"/>
  <c r="BO13" i="46"/>
  <c r="AC33" i="49"/>
  <c r="BJ6" i="45"/>
  <c r="BJ11" i="48"/>
  <c r="AC15" i="39"/>
  <c r="BJ9" i="48"/>
  <c r="BJ6" i="39"/>
  <c r="Q32" i="43"/>
  <c r="Q33" i="43" s="1"/>
  <c r="AE19" i="46"/>
  <c r="AF19" i="46" s="1"/>
  <c r="AG19" i="46" s="1"/>
  <c r="BO9" i="39"/>
  <c r="BJ8" i="49"/>
  <c r="BJ10" i="46"/>
  <c r="AC15" i="45"/>
  <c r="AC15" i="44"/>
  <c r="AC18" i="24"/>
  <c r="AC19" i="24"/>
  <c r="BJ15" i="35"/>
  <c r="BJ16" i="44"/>
  <c r="BJ13" i="47"/>
  <c r="BJ16" i="45"/>
  <c r="BJ13" i="48"/>
  <c r="BO16" i="39"/>
  <c r="BJ11" i="44"/>
  <c r="AC16" i="39"/>
  <c r="AE22" i="48"/>
  <c r="AF22" i="48" s="1"/>
  <c r="AG22" i="48" s="1"/>
  <c r="AE19" i="39"/>
  <c r="BO19" i="39"/>
  <c r="BJ9" i="39"/>
  <c r="BO26" i="49"/>
  <c r="BO11" i="45"/>
  <c r="AC26" i="45"/>
  <c r="AK60" i="45"/>
  <c r="AL60" i="45" s="1"/>
  <c r="AK52" i="39"/>
  <c r="AL52" i="39" s="1"/>
  <c r="S78" i="49"/>
  <c r="BJ17" i="39"/>
  <c r="BO19" i="44"/>
  <c r="AC16" i="24"/>
  <c r="AC17" i="24"/>
  <c r="AE25" i="47"/>
  <c r="AF25" i="47" s="1"/>
  <c r="AG25" i="47" s="1"/>
  <c r="AK53" i="39"/>
  <c r="AL53" i="39" s="1"/>
  <c r="AC19" i="39"/>
  <c r="AE17" i="44"/>
  <c r="AF17" i="44" s="1"/>
  <c r="AG17" i="44" s="1"/>
  <c r="AE15" i="46"/>
  <c r="AF15" i="46" s="1"/>
  <c r="AG15" i="46" s="1"/>
  <c r="AE15" i="24"/>
  <c r="AC15" i="24"/>
  <c r="AK53" i="49"/>
  <c r="AL53" i="49" s="1"/>
  <c r="BJ6" i="44"/>
  <c r="AE14" i="46"/>
  <c r="AF14" i="46" s="1"/>
  <c r="AG14" i="46" s="1"/>
  <c r="AE22" i="39"/>
  <c r="AF22" i="39" s="1"/>
  <c r="AG22" i="39" s="1"/>
  <c r="AK59" i="45"/>
  <c r="AL59" i="45" s="1"/>
  <c r="AC25" i="45"/>
  <c r="I78" i="48"/>
  <c r="AE17" i="46"/>
  <c r="AF17" i="46" s="1"/>
  <c r="AG17" i="46" s="1"/>
  <c r="I78" i="44"/>
  <c r="BO25" i="49"/>
  <c r="I79" i="43"/>
  <c r="U50" i="43" s="1"/>
  <c r="Q78" i="50"/>
  <c r="BJ15" i="40"/>
  <c r="AE24" i="35"/>
  <c r="AF24" i="35" s="1"/>
  <c r="AG24" i="35" s="1"/>
  <c r="BO15" i="49"/>
  <c r="BJ5" i="44"/>
  <c r="BJ9" i="45"/>
  <c r="AE19" i="24"/>
  <c r="AF19" i="24" s="1"/>
  <c r="AG19" i="24" s="1"/>
  <c r="BJ7" i="48"/>
  <c r="K78" i="46"/>
  <c r="K78" i="48"/>
  <c r="K78" i="45"/>
  <c r="AE25" i="39"/>
  <c r="AF25" i="39" s="1"/>
  <c r="AG25" i="39" s="1"/>
  <c r="AE17" i="24"/>
  <c r="AF17" i="24" s="1"/>
  <c r="AG17" i="24" s="1"/>
  <c r="AE15" i="48"/>
  <c r="AF15" i="48" s="1"/>
  <c r="AG15" i="48" s="1"/>
  <c r="Q32" i="45"/>
  <c r="Q33" i="45" s="1"/>
  <c r="Q32" i="39"/>
  <c r="Q33" i="39" s="1"/>
  <c r="Q32" i="49"/>
  <c r="Q33" i="49" s="1"/>
  <c r="AE14" i="24"/>
  <c r="AK61" i="39"/>
  <c r="AL61" i="39" s="1"/>
  <c r="AE14" i="48"/>
  <c r="AF14" i="48" s="1"/>
  <c r="AG14" i="48" s="1"/>
  <c r="AE18" i="47"/>
  <c r="AF18" i="47" s="1"/>
  <c r="AG18" i="47" s="1"/>
  <c r="BJ11" i="39"/>
  <c r="AE26" i="35"/>
  <c r="AF26" i="35" s="1"/>
  <c r="AG26" i="35" s="1"/>
  <c r="AE20" i="47"/>
  <c r="AF20" i="47" s="1"/>
  <c r="AG20" i="47" s="1"/>
  <c r="AE14" i="45"/>
  <c r="AF14" i="45" s="1"/>
  <c r="AG14" i="45" s="1"/>
  <c r="AE26" i="48"/>
  <c r="AF26" i="48" s="1"/>
  <c r="AG26" i="48" s="1"/>
  <c r="K78" i="47"/>
  <c r="AE17" i="48"/>
  <c r="AF17" i="48" s="1"/>
  <c r="AG17" i="48" s="1"/>
  <c r="Q32" i="50"/>
  <c r="Q33" i="50" s="1"/>
  <c r="Q32" i="47"/>
  <c r="Q33" i="47" s="1"/>
  <c r="BJ10" i="49"/>
  <c r="AE24" i="38"/>
  <c r="AF24" i="38" s="1"/>
  <c r="AG24" i="38" s="1"/>
  <c r="AE20" i="48"/>
  <c r="AF20" i="48" s="1"/>
  <c r="AG20" i="48" s="1"/>
  <c r="AE26" i="24"/>
  <c r="AF26" i="24" s="1"/>
  <c r="AG26" i="24" s="1"/>
  <c r="BJ17" i="40"/>
  <c r="AE23" i="50"/>
  <c r="AF23" i="50" s="1"/>
  <c r="AG23" i="50" s="1"/>
  <c r="AE22" i="50"/>
  <c r="AF22" i="50" s="1"/>
  <c r="AG22" i="50" s="1"/>
  <c r="AE16" i="50"/>
  <c r="AF16" i="50" s="1"/>
  <c r="AG16" i="50" s="1"/>
  <c r="AE24" i="50"/>
  <c r="AF24" i="50" s="1"/>
  <c r="AG24" i="50" s="1"/>
  <c r="BJ8" i="48"/>
  <c r="AE15" i="50"/>
  <c r="AF15" i="50" s="1"/>
  <c r="AG15" i="50" s="1"/>
  <c r="AE20" i="44"/>
  <c r="AF20" i="44" s="1"/>
  <c r="AG20" i="44" s="1"/>
  <c r="AE15" i="45"/>
  <c r="AF15" i="45" s="1"/>
  <c r="AG15" i="45" s="1"/>
  <c r="AE14" i="44"/>
  <c r="AF14" i="44" s="1"/>
  <c r="AG14" i="44" s="1"/>
  <c r="AE19" i="49"/>
  <c r="AF19" i="49" s="1"/>
  <c r="AG19" i="49" s="1"/>
  <c r="AE26" i="40"/>
  <c r="AF26" i="40" s="1"/>
  <c r="AG26" i="40" s="1"/>
  <c r="AE16" i="39"/>
  <c r="AF16" i="39" s="1"/>
  <c r="AG16" i="39" s="1"/>
  <c r="AE18" i="39"/>
  <c r="AF18" i="39" s="1"/>
  <c r="AG18" i="39" s="1"/>
  <c r="AE17" i="49"/>
  <c r="AF17" i="49" s="1"/>
  <c r="AG17" i="49" s="1"/>
  <c r="AE14" i="50"/>
  <c r="AF14" i="50" s="1"/>
  <c r="AG14" i="50" s="1"/>
  <c r="BO18" i="44"/>
  <c r="BO23" i="48"/>
  <c r="AE24" i="47"/>
  <c r="AF24" i="47" s="1"/>
  <c r="AG24" i="47" s="1"/>
  <c r="AE26" i="47"/>
  <c r="AF26" i="47" s="1"/>
  <c r="AG26" i="47" s="1"/>
  <c r="AE24" i="46"/>
  <c r="AF24" i="46" s="1"/>
  <c r="AG24" i="46" s="1"/>
  <c r="AE21" i="46"/>
  <c r="AF21" i="46" s="1"/>
  <c r="AG21" i="46" s="1"/>
  <c r="AC19" i="48"/>
  <c r="AE24" i="39"/>
  <c r="AF24" i="39" s="1"/>
  <c r="AG24" i="39" s="1"/>
  <c r="AE24" i="44"/>
  <c r="AF24" i="44" s="1"/>
  <c r="AG24" i="44" s="1"/>
  <c r="AE26" i="45"/>
  <c r="AF26" i="45" s="1"/>
  <c r="AG26" i="45" s="1"/>
  <c r="AE15" i="39"/>
  <c r="AF15" i="39" s="1"/>
  <c r="AG15" i="39" s="1"/>
  <c r="AE15" i="49"/>
  <c r="AF15" i="49" s="1"/>
  <c r="AG15" i="49" s="1"/>
  <c r="AE15" i="44"/>
  <c r="AF15" i="44" s="1"/>
  <c r="AG15" i="44" s="1"/>
  <c r="AE19" i="45"/>
  <c r="AF19" i="45" s="1"/>
  <c r="AG19" i="45" s="1"/>
  <c r="AE21" i="50"/>
  <c r="AF21" i="50" s="1"/>
  <c r="AG21" i="50" s="1"/>
  <c r="AE19" i="44"/>
  <c r="AF19" i="44" s="1"/>
  <c r="AG19" i="44" s="1"/>
  <c r="AE25" i="50"/>
  <c r="AF25" i="50" s="1"/>
  <c r="AG25" i="50" s="1"/>
  <c r="AE25" i="49"/>
  <c r="AF25" i="49" s="1"/>
  <c r="AG25" i="49" s="1"/>
  <c r="BJ17" i="48"/>
  <c r="AE19" i="48"/>
  <c r="AF19" i="48" s="1"/>
  <c r="AG19" i="48" s="1"/>
  <c r="AE14" i="49"/>
  <c r="AF14" i="49" s="1"/>
  <c r="AG14" i="49" s="1"/>
  <c r="AE26" i="44"/>
  <c r="AF26" i="44" s="1"/>
  <c r="AG26" i="44" s="1"/>
  <c r="AE17" i="45"/>
  <c r="AF17" i="45" s="1"/>
  <c r="AG17" i="45" s="1"/>
  <c r="AE25" i="44"/>
  <c r="AF25" i="44" s="1"/>
  <c r="AG25" i="44" s="1"/>
  <c r="AE21" i="44"/>
  <c r="AF21" i="44" s="1"/>
  <c r="AG21" i="44" s="1"/>
  <c r="AE19" i="50"/>
  <c r="AF19" i="50" s="1"/>
  <c r="AG19" i="50" s="1"/>
  <c r="BO22" i="45"/>
  <c r="BO25" i="46"/>
  <c r="AE26" i="37"/>
  <c r="AF26" i="37" s="1"/>
  <c r="AG26" i="37" s="1"/>
  <c r="BO26" i="46"/>
  <c r="AC24" i="44"/>
  <c r="S78" i="50"/>
  <c r="AE14" i="47"/>
  <c r="AF14" i="47" s="1"/>
  <c r="AG14" i="47" s="1"/>
  <c r="AC20" i="47"/>
  <c r="AE19" i="47"/>
  <c r="AF19" i="47" s="1"/>
  <c r="AG19" i="47" s="1"/>
  <c r="AE17" i="39"/>
  <c r="AE17" i="50"/>
  <c r="AF17" i="50" s="1"/>
  <c r="AG17" i="50" s="1"/>
  <c r="BJ5" i="45"/>
  <c r="AE18" i="24"/>
  <c r="AE20" i="24"/>
  <c r="AF20" i="24" s="1"/>
  <c r="AG20" i="24" s="1"/>
  <c r="AE21" i="24"/>
  <c r="AF21" i="24" s="1"/>
  <c r="AG21" i="24" s="1"/>
  <c r="AE24" i="24"/>
  <c r="AF24" i="24" s="1"/>
  <c r="AG24" i="24" s="1"/>
  <c r="AE23" i="24"/>
  <c r="AF23" i="24" s="1"/>
  <c r="AG23" i="24" s="1"/>
  <c r="AE25" i="24"/>
  <c r="AC14" i="24"/>
  <c r="AE22" i="24"/>
  <c r="AE16" i="24"/>
  <c r="AE26" i="39"/>
  <c r="AF26" i="39" s="1"/>
  <c r="AG26" i="39" s="1"/>
  <c r="AE21" i="49"/>
  <c r="AF21" i="49" s="1"/>
  <c r="AG21" i="49" s="1"/>
  <c r="BJ10" i="48"/>
  <c r="AE25" i="38"/>
  <c r="AF25" i="38" s="1"/>
  <c r="AG25" i="38" s="1"/>
  <c r="AE26" i="50"/>
  <c r="AF26" i="50" s="1"/>
  <c r="AG26" i="50" s="1"/>
  <c r="AE26" i="46"/>
  <c r="AF26" i="46" s="1"/>
  <c r="AG26" i="46" s="1"/>
  <c r="BJ15" i="45"/>
  <c r="AE18" i="50"/>
  <c r="AF18" i="50" s="1"/>
  <c r="AG18" i="50" s="1"/>
  <c r="AE20" i="50"/>
  <c r="AF20" i="50" s="1"/>
  <c r="AG20" i="50" s="1"/>
  <c r="BJ16" i="48"/>
  <c r="AA25" i="48"/>
  <c r="BO19" i="48" s="1"/>
  <c r="AK61" i="48"/>
  <c r="AL61" i="48" s="1"/>
  <c r="I78" i="47"/>
  <c r="I78" i="46"/>
  <c r="AK65" i="46"/>
  <c r="AL65" i="46" s="1"/>
  <c r="BO20" i="46"/>
  <c r="Q32" i="44"/>
  <c r="Q33" i="44" s="1"/>
  <c r="Q32" i="40"/>
  <c r="Q33" i="40" s="1"/>
  <c r="AK43" i="50"/>
  <c r="Q78" i="49"/>
  <c r="BJ8" i="39"/>
  <c r="BJ15" i="48"/>
  <c r="BJ17" i="44"/>
  <c r="Q33" i="38"/>
  <c r="U4" i="38" s="1"/>
  <c r="AC14" i="45"/>
  <c r="AK48" i="45"/>
  <c r="AL48" i="45" s="1"/>
  <c r="AA22" i="45"/>
  <c r="BO16" i="45" s="1"/>
  <c r="BJ13" i="45"/>
  <c r="AA21" i="45"/>
  <c r="BO15" i="45" s="1"/>
  <c r="BJ12" i="45"/>
  <c r="AK60" i="48"/>
  <c r="AL60" i="48" s="1"/>
  <c r="AC26" i="48"/>
  <c r="AA20" i="45"/>
  <c r="BO14" i="45" s="1"/>
  <c r="BJ11" i="45"/>
  <c r="AC27" i="45"/>
  <c r="AK61" i="45"/>
  <c r="AL61" i="45" s="1"/>
  <c r="AA23" i="45"/>
  <c r="BO17" i="45" s="1"/>
  <c r="BJ14" i="45"/>
  <c r="AC17" i="48"/>
  <c r="AK51" i="48"/>
  <c r="AL51" i="48" s="1"/>
  <c r="AA23" i="48"/>
  <c r="BO17" i="48" s="1"/>
  <c r="BJ14" i="48"/>
  <c r="AK65" i="48"/>
  <c r="AL65" i="48" s="1"/>
  <c r="AC31" i="48"/>
  <c r="AE24" i="48"/>
  <c r="AF24" i="48" s="1"/>
  <c r="AG24" i="48" s="1"/>
  <c r="AC24" i="48"/>
  <c r="AK58" i="48"/>
  <c r="AL58" i="48" s="1"/>
  <c r="I78" i="49"/>
  <c r="Q32" i="41"/>
  <c r="Q33" i="41" s="1"/>
  <c r="Q32" i="48"/>
  <c r="Q33" i="48" s="1"/>
  <c r="BJ17" i="46"/>
  <c r="AA21" i="48"/>
  <c r="BO15" i="48" s="1"/>
  <c r="BJ12" i="48"/>
  <c r="AE24" i="40"/>
  <c r="AF24" i="40" s="1"/>
  <c r="AG24" i="40" s="1"/>
  <c r="AA17" i="47"/>
  <c r="BO11" i="47" s="1"/>
  <c r="BJ8" i="47"/>
  <c r="AE18" i="45"/>
  <c r="AF18" i="45" s="1"/>
  <c r="AG18" i="45" s="1"/>
  <c r="AK52" i="45"/>
  <c r="AL52" i="45" s="1"/>
  <c r="AC18" i="45"/>
  <c r="AA16" i="45"/>
  <c r="BO10" i="45" s="1"/>
  <c r="BJ7" i="45"/>
  <c r="AK58" i="45"/>
  <c r="AL58" i="45" s="1"/>
  <c r="AC24" i="45"/>
  <c r="AE24" i="45"/>
  <c r="AF24" i="45" s="1"/>
  <c r="AG24" i="45" s="1"/>
  <c r="AA23" i="47"/>
  <c r="BJ14" i="47"/>
  <c r="AE20" i="39"/>
  <c r="AF20" i="39" s="1"/>
  <c r="AG20" i="39" s="1"/>
  <c r="AC20" i="39"/>
  <c r="AK54" i="39"/>
  <c r="AL54" i="39" s="1"/>
  <c r="AE23" i="44"/>
  <c r="AF23" i="44" s="1"/>
  <c r="AG23" i="44" s="1"/>
  <c r="AK57" i="44"/>
  <c r="AL57" i="44" s="1"/>
  <c r="AC23" i="44"/>
  <c r="BO17" i="44"/>
  <c r="AA16" i="49"/>
  <c r="BO10" i="49" s="1"/>
  <c r="BJ7" i="49"/>
  <c r="BJ11" i="49"/>
  <c r="AA20" i="49"/>
  <c r="BO14" i="49" s="1"/>
  <c r="AK48" i="39"/>
  <c r="AL48" i="39" s="1"/>
  <c r="AC14" i="39"/>
  <c r="AA21" i="39"/>
  <c r="BO15" i="39" s="1"/>
  <c r="BJ12" i="39"/>
  <c r="AA22" i="49"/>
  <c r="BO16" i="49" s="1"/>
  <c r="BJ13" i="49"/>
  <c r="AC32" i="39"/>
  <c r="AK66" i="39"/>
  <c r="AL66" i="39" s="1"/>
  <c r="AK54" i="44"/>
  <c r="AL54" i="44" s="1"/>
  <c r="AK58" i="44"/>
  <c r="AL58" i="44" s="1"/>
  <c r="AE14" i="39"/>
  <c r="AF14" i="39" s="1"/>
  <c r="BJ5" i="39"/>
  <c r="BJ14" i="44"/>
  <c r="AC27" i="44"/>
  <c r="AK61" i="44"/>
  <c r="AL61" i="44" s="1"/>
  <c r="AA23" i="49"/>
  <c r="BO17" i="49" s="1"/>
  <c r="BJ14" i="49"/>
  <c r="AK60" i="44"/>
  <c r="AL60" i="44" s="1"/>
  <c r="AC26" i="44"/>
  <c r="AK51" i="39"/>
  <c r="AL51" i="39" s="1"/>
  <c r="AC17" i="39"/>
  <c r="AK67" i="39"/>
  <c r="AL67" i="39" s="1"/>
  <c r="AC33" i="39"/>
  <c r="AA23" i="39"/>
  <c r="BO17" i="39" s="1"/>
  <c r="BJ14" i="39"/>
  <c r="AC24" i="49"/>
  <c r="AK58" i="49"/>
  <c r="AL58" i="49" s="1"/>
  <c r="AK64" i="39"/>
  <c r="AL64" i="39" s="1"/>
  <c r="AC30" i="39"/>
  <c r="BO14" i="44"/>
  <c r="AC20" i="44"/>
  <c r="AE24" i="49"/>
  <c r="AF24" i="49" s="1"/>
  <c r="AG24" i="49" s="1"/>
  <c r="AK66" i="44"/>
  <c r="AL66" i="44" s="1"/>
  <c r="AC32" i="44"/>
  <c r="AK60" i="39"/>
  <c r="AL60" i="39" s="1"/>
  <c r="AC26" i="39"/>
  <c r="AK48" i="44"/>
  <c r="AL48" i="44" s="1"/>
  <c r="AC14" i="44"/>
  <c r="AC17" i="44"/>
  <c r="AK51" i="44"/>
  <c r="AL51" i="44" s="1"/>
  <c r="BJ15" i="49"/>
  <c r="AA22" i="44"/>
  <c r="BO16" i="44" s="1"/>
  <c r="BJ13" i="44"/>
  <c r="BJ9" i="46"/>
  <c r="AA18" i="46"/>
  <c r="E33" i="38"/>
  <c r="W79" i="50"/>
  <c r="U4" i="50" s="1"/>
  <c r="E79" i="47"/>
  <c r="E79" i="48"/>
  <c r="E79" i="46"/>
  <c r="E33" i="46"/>
  <c r="E33" i="44"/>
  <c r="E33" i="50"/>
  <c r="E79" i="50"/>
  <c r="AA16" i="47"/>
  <c r="AE16" i="47" s="1"/>
  <c r="AF16" i="47" s="1"/>
  <c r="AG16" i="47" s="1"/>
  <c r="BJ7" i="47"/>
  <c r="AA25" i="46"/>
  <c r="AE25" i="46" s="1"/>
  <c r="AF25" i="46" s="1"/>
  <c r="AG25" i="46" s="1"/>
  <c r="BJ16" i="46"/>
  <c r="BO14" i="47"/>
  <c r="BJ5" i="46"/>
  <c r="BJ15" i="47"/>
  <c r="AC18" i="49"/>
  <c r="AE18" i="49"/>
  <c r="AF18" i="49" s="1"/>
  <c r="AG18" i="49" s="1"/>
  <c r="AK52" i="49"/>
  <c r="AL52" i="49" s="1"/>
  <c r="AA22" i="46"/>
  <c r="AE22" i="46" s="1"/>
  <c r="AF22" i="46" s="1"/>
  <c r="AG22" i="46" s="1"/>
  <c r="BJ13" i="46"/>
  <c r="AA23" i="46"/>
  <c r="AE23" i="46" s="1"/>
  <c r="AF23" i="46" s="1"/>
  <c r="AG23" i="46" s="1"/>
  <c r="BJ14" i="46"/>
  <c r="AC18" i="48"/>
  <c r="AE18" i="48"/>
  <c r="AF18" i="48" s="1"/>
  <c r="AG18" i="48" s="1"/>
  <c r="AK52" i="48"/>
  <c r="AL52" i="48" s="1"/>
  <c r="BJ5" i="47"/>
  <c r="AA20" i="46"/>
  <c r="AE20" i="46" s="1"/>
  <c r="AF20" i="46" s="1"/>
  <c r="AG20" i="46" s="1"/>
  <c r="BJ11" i="46"/>
  <c r="BJ16" i="40"/>
  <c r="AC21" i="49"/>
  <c r="AA21" i="47"/>
  <c r="AE21" i="47" s="1"/>
  <c r="AF21" i="47" s="1"/>
  <c r="AG21" i="47" s="1"/>
  <c r="BJ12" i="47"/>
  <c r="AA16" i="46"/>
  <c r="AE16" i="46" s="1"/>
  <c r="AF16" i="46" s="1"/>
  <c r="AG16" i="46" s="1"/>
  <c r="BJ7" i="46"/>
  <c r="BJ8" i="46"/>
  <c r="BJ17" i="37"/>
  <c r="BJ6" i="46"/>
  <c r="BJ16" i="47"/>
  <c r="AA15" i="47"/>
  <c r="AE15" i="47" s="1"/>
  <c r="AF15" i="47" s="1"/>
  <c r="AG15" i="47" s="1"/>
  <c r="BJ6" i="47"/>
  <c r="AK55" i="49"/>
  <c r="AL55" i="49" s="1"/>
  <c r="BJ16" i="35"/>
  <c r="AK54" i="47"/>
  <c r="AL54" i="47" s="1"/>
  <c r="BJ10" i="47"/>
  <c r="BJ17" i="47"/>
  <c r="AE16" i="48"/>
  <c r="AF16" i="48" s="1"/>
  <c r="AC16" i="48"/>
  <c r="AK50" i="48"/>
  <c r="AL50" i="48" s="1"/>
  <c r="AC16" i="44"/>
  <c r="AE16" i="44"/>
  <c r="AF16" i="44" s="1"/>
  <c r="AG16" i="44" s="1"/>
  <c r="BO8" i="48"/>
  <c r="BO27" i="48"/>
  <c r="BO18" i="48"/>
  <c r="BO9" i="48"/>
  <c r="BO13" i="48"/>
  <c r="BO14" i="48"/>
  <c r="BO11" i="48"/>
  <c r="BO16" i="48"/>
  <c r="BO12" i="48"/>
  <c r="BO25" i="48"/>
  <c r="BO20" i="48"/>
  <c r="BO10" i="48"/>
  <c r="BO26" i="48"/>
  <c r="AO40" i="41"/>
  <c r="AM42" i="41"/>
  <c r="AM43" i="41" s="1"/>
  <c r="C25" i="52"/>
  <c r="F8" i="49"/>
  <c r="F8" i="46"/>
  <c r="F8" i="36"/>
  <c r="F8" i="41"/>
  <c r="C24" i="52"/>
  <c r="C27" i="52"/>
  <c r="G29" i="24"/>
  <c r="F8" i="48"/>
  <c r="F8" i="43"/>
  <c r="F8" i="47"/>
  <c r="F8" i="35"/>
  <c r="C26" i="52"/>
  <c r="C29" i="52"/>
  <c r="G28" i="24"/>
  <c r="G30" i="24"/>
  <c r="F8" i="44"/>
  <c r="F8" i="38"/>
  <c r="F8" i="45"/>
  <c r="F8" i="39"/>
  <c r="C28" i="52"/>
  <c r="F8" i="50"/>
  <c r="F8" i="37"/>
  <c r="F8" i="40"/>
  <c r="F8" i="34"/>
  <c r="H30" i="50"/>
  <c r="H30" i="43"/>
  <c r="H30" i="48"/>
  <c r="H30" i="47"/>
  <c r="H30" i="49"/>
  <c r="H30" i="46"/>
  <c r="H30" i="37"/>
  <c r="H30" i="41"/>
  <c r="H30" i="38"/>
  <c r="H30" i="36"/>
  <c r="H30" i="40"/>
  <c r="H30" i="45"/>
  <c r="H30" i="44"/>
  <c r="H30" i="39"/>
  <c r="H30" i="35"/>
  <c r="AM42" i="24"/>
  <c r="AM43" i="24" s="1"/>
  <c r="AO40" i="24"/>
  <c r="AN41" i="24"/>
  <c r="AQ41" i="50"/>
  <c r="BO27" i="49"/>
  <c r="BO13" i="49"/>
  <c r="BO9" i="49"/>
  <c r="BO11" i="49"/>
  <c r="BO18" i="49"/>
  <c r="BO12" i="49"/>
  <c r="BO8" i="49"/>
  <c r="BO21" i="49"/>
  <c r="BO19" i="49"/>
  <c r="BO20" i="39"/>
  <c r="BO18" i="39"/>
  <c r="BO26" i="39"/>
  <c r="BO27" i="39"/>
  <c r="BO8" i="39"/>
  <c r="BO21" i="39"/>
  <c r="BO14" i="39"/>
  <c r="BO12" i="39"/>
  <c r="BO11" i="39"/>
  <c r="BO24" i="39"/>
  <c r="BO23" i="39"/>
  <c r="BO13" i="39"/>
  <c r="BO25" i="39"/>
  <c r="BO10" i="39"/>
  <c r="AN41" i="41"/>
  <c r="M30" i="50"/>
  <c r="M30" i="41"/>
  <c r="M30" i="40"/>
  <c r="M30" i="46"/>
  <c r="M30" i="39"/>
  <c r="M30" i="38"/>
  <c r="M30" i="37"/>
  <c r="AA33" i="37" s="1"/>
  <c r="M30" i="47"/>
  <c r="M30" i="43"/>
  <c r="M30" i="48"/>
  <c r="M30" i="45"/>
  <c r="M30" i="44"/>
  <c r="M30" i="49"/>
  <c r="M28" i="40"/>
  <c r="M28" i="45"/>
  <c r="M28" i="50"/>
  <c r="M28" i="38"/>
  <c r="M28" i="49"/>
  <c r="M28" i="46"/>
  <c r="M28" i="48"/>
  <c r="M28" i="43"/>
  <c r="M28" i="44"/>
  <c r="M28" i="47"/>
  <c r="M28" i="39"/>
  <c r="M28" i="37"/>
  <c r="AA31" i="37" s="1"/>
  <c r="M28" i="41"/>
  <c r="C71" i="52"/>
  <c r="C68" i="52"/>
  <c r="C70" i="52"/>
  <c r="T8" i="49"/>
  <c r="T8" i="43"/>
  <c r="T8" i="44"/>
  <c r="C66" i="52"/>
  <c r="T8" i="50"/>
  <c r="T8" i="41"/>
  <c r="C67" i="52"/>
  <c r="T8" i="46"/>
  <c r="T8" i="48"/>
  <c r="C69" i="52"/>
  <c r="T8" i="45"/>
  <c r="T8" i="47"/>
  <c r="BP21" i="50"/>
  <c r="BP25" i="50"/>
  <c r="BP18" i="50"/>
  <c r="BP17" i="50"/>
  <c r="BP11" i="50"/>
  <c r="BP26" i="50"/>
  <c r="BP10" i="50"/>
  <c r="BP12" i="50"/>
  <c r="BP20" i="50"/>
  <c r="BP14" i="50"/>
  <c r="BP27" i="50"/>
  <c r="BP16" i="50"/>
  <c r="BP8" i="50"/>
  <c r="BP9" i="50"/>
  <c r="BP13" i="50"/>
  <c r="BO16" i="47"/>
  <c r="BO26" i="47"/>
  <c r="BO12" i="47"/>
  <c r="AK43" i="49"/>
  <c r="M29" i="37"/>
  <c r="AA32" i="37" s="1"/>
  <c r="M29" i="48"/>
  <c r="M29" i="38"/>
  <c r="M29" i="44"/>
  <c r="M29" i="45"/>
  <c r="M29" i="43"/>
  <c r="M29" i="47"/>
  <c r="M29" i="39"/>
  <c r="M29" i="49"/>
  <c r="M29" i="41"/>
  <c r="M29" i="40"/>
  <c r="M29" i="50"/>
  <c r="M29" i="46"/>
  <c r="M31" i="46"/>
  <c r="M31" i="47"/>
  <c r="M31" i="38"/>
  <c r="M31" i="37"/>
  <c r="M31" i="50"/>
  <c r="M31" i="41"/>
  <c r="M31" i="49"/>
  <c r="M31" i="43"/>
  <c r="M31" i="48"/>
  <c r="M31" i="45"/>
  <c r="M31" i="44"/>
  <c r="M31" i="39"/>
  <c r="M31" i="40"/>
  <c r="BO26" i="38"/>
  <c r="BO27" i="38"/>
  <c r="BO21" i="46"/>
  <c r="BO15" i="46"/>
  <c r="BO18" i="46"/>
  <c r="BO21" i="45"/>
  <c r="BO26" i="45"/>
  <c r="BO27" i="45"/>
  <c r="BO24" i="45"/>
  <c r="BO13" i="45"/>
  <c r="BO25" i="45"/>
  <c r="BO19" i="45"/>
  <c r="BO12" i="45"/>
  <c r="BO18" i="45"/>
  <c r="BO9" i="45"/>
  <c r="BO20" i="45"/>
  <c r="BO8" i="45"/>
  <c r="BO24" i="24"/>
  <c r="BO18" i="24"/>
  <c r="BO14" i="24"/>
  <c r="BO9" i="24"/>
  <c r="BO22" i="24"/>
  <c r="BO23" i="24"/>
  <c r="BO17" i="24"/>
  <c r="BO13" i="24"/>
  <c r="BO8" i="24"/>
  <c r="BO20" i="24"/>
  <c r="BO12" i="24"/>
  <c r="BO26" i="24"/>
  <c r="BO21" i="24"/>
  <c r="BO16" i="24"/>
  <c r="BO11" i="24"/>
  <c r="BO25" i="24"/>
  <c r="BO19" i="24"/>
  <c r="BO15" i="24"/>
  <c r="BO10" i="24"/>
  <c r="BO27" i="24"/>
  <c r="A15" i="51"/>
  <c r="DA215" i="51" s="1"/>
  <c r="A16" i="51"/>
  <c r="DA216" i="51" s="1"/>
  <c r="A20" i="51"/>
  <c r="DA220" i="51" s="1"/>
  <c r="A24" i="51"/>
  <c r="DA224" i="51" s="1"/>
  <c r="A28" i="51"/>
  <c r="DA228" i="51" s="1"/>
  <c r="A13" i="51"/>
  <c r="DA213" i="51" s="1"/>
  <c r="A14" i="51"/>
  <c r="DA214" i="51" s="1"/>
  <c r="A19" i="51"/>
  <c r="DA219" i="51" s="1"/>
  <c r="A23" i="51"/>
  <c r="DA223" i="51" s="1"/>
  <c r="A18" i="51"/>
  <c r="DA218" i="51" s="1"/>
  <c r="A26" i="51"/>
  <c r="DA226" i="51" s="1"/>
  <c r="A21" i="51"/>
  <c r="DA221" i="51" s="1"/>
  <c r="A27" i="51"/>
  <c r="DA227" i="51" s="1"/>
  <c r="A12" i="51"/>
  <c r="DA212" i="51" s="1"/>
  <c r="A22" i="51"/>
  <c r="DA222" i="51" s="1"/>
  <c r="A29" i="51"/>
  <c r="DA229" i="51" s="1"/>
  <c r="A17" i="51"/>
  <c r="DA217" i="51" s="1"/>
  <c r="A25" i="51"/>
  <c r="DA225" i="51" s="1"/>
  <c r="A30" i="51"/>
  <c r="DA230" i="51" s="1"/>
  <c r="BO12" i="44"/>
  <c r="BO11" i="44"/>
  <c r="BO22" i="44"/>
  <c r="BO9" i="44"/>
  <c r="BO10" i="44"/>
  <c r="BO27" i="44"/>
  <c r="BO20" i="44"/>
  <c r="BO8" i="44"/>
  <c r="BO13" i="44"/>
  <c r="BO26" i="44"/>
  <c r="BO25" i="44"/>
  <c r="BO15" i="44"/>
  <c r="BO21" i="44"/>
  <c r="AN42" i="44"/>
  <c r="AN43" i="44" s="1"/>
  <c r="AP40" i="44"/>
  <c r="AP41" i="44" s="1"/>
  <c r="K30" i="44"/>
  <c r="K30" i="43"/>
  <c r="K30" i="41"/>
  <c r="K30" i="40"/>
  <c r="K30" i="36"/>
  <c r="AA33" i="36" s="1"/>
  <c r="K30" i="45"/>
  <c r="K30" i="37"/>
  <c r="K30" i="39"/>
  <c r="K30" i="49"/>
  <c r="K30" i="46"/>
  <c r="K30" i="38"/>
  <c r="K30" i="47"/>
  <c r="K30" i="48"/>
  <c r="K30" i="50"/>
  <c r="AC15" i="46"/>
  <c r="AK49" i="46"/>
  <c r="AL49" i="46" s="1"/>
  <c r="BO9" i="46"/>
  <c r="L30" i="43"/>
  <c r="L30" i="48"/>
  <c r="L30" i="37"/>
  <c r="L30" i="49"/>
  <c r="L30" i="50"/>
  <c r="L30" i="47"/>
  <c r="L30" i="41"/>
  <c r="L30" i="38"/>
  <c r="L30" i="45"/>
  <c r="L30" i="40"/>
  <c r="L30" i="39"/>
  <c r="L30" i="44"/>
  <c r="L30" i="46"/>
  <c r="AK60" i="47"/>
  <c r="AL60" i="47" s="1"/>
  <c r="BO20" i="47"/>
  <c r="AC26" i="47"/>
  <c r="AP40" i="46"/>
  <c r="AN42" i="46"/>
  <c r="AN43" i="46" s="1"/>
  <c r="AP41" i="46"/>
  <c r="BO18" i="47"/>
  <c r="AC24" i="47"/>
  <c r="AK58" i="47"/>
  <c r="AL58" i="47" s="1"/>
  <c r="AK65" i="47"/>
  <c r="AL65" i="47" s="1"/>
  <c r="AC31" i="47"/>
  <c r="BO25" i="47"/>
  <c r="AC28" i="46"/>
  <c r="BO8" i="46"/>
  <c r="AK48" i="46"/>
  <c r="AL48" i="46" s="1"/>
  <c r="AC14" i="46"/>
  <c r="AC19" i="47"/>
  <c r="AK53" i="47"/>
  <c r="AL53" i="47" s="1"/>
  <c r="BO13" i="47"/>
  <c r="J30" i="44"/>
  <c r="J30" i="49"/>
  <c r="J30" i="37"/>
  <c r="J30" i="47"/>
  <c r="J30" i="45"/>
  <c r="J30" i="43"/>
  <c r="J30" i="50"/>
  <c r="J30" i="46"/>
  <c r="J30" i="39"/>
  <c r="J30" i="40"/>
  <c r="J30" i="38"/>
  <c r="J30" i="48"/>
  <c r="J30" i="36"/>
  <c r="J30" i="41"/>
  <c r="BO11" i="46"/>
  <c r="AC17" i="46"/>
  <c r="AK51" i="46"/>
  <c r="AL51" i="46" s="1"/>
  <c r="AC27" i="47"/>
  <c r="BO21" i="47"/>
  <c r="AK61" i="47"/>
  <c r="AL61" i="47" s="1"/>
  <c r="BO26" i="35"/>
  <c r="AC32" i="35"/>
  <c r="AK66" i="35"/>
  <c r="AL66" i="35" s="1"/>
  <c r="BO24" i="46"/>
  <c r="AC30" i="46"/>
  <c r="AK64" i="46"/>
  <c r="AL64" i="46" s="1"/>
  <c r="BO27" i="47"/>
  <c r="AC33" i="47"/>
  <c r="AK67" i="47"/>
  <c r="AL67" i="47" s="1"/>
  <c r="AO41" i="44"/>
  <c r="AO40" i="37"/>
  <c r="AM42" i="37"/>
  <c r="AM43" i="37" s="1"/>
  <c r="AO41" i="37"/>
  <c r="AO40" i="36"/>
  <c r="AO41" i="36" s="1"/>
  <c r="AM42" i="36"/>
  <c r="AM43" i="36" s="1"/>
  <c r="K28" i="36"/>
  <c r="AA31" i="36" s="1"/>
  <c r="K28" i="45"/>
  <c r="K28" i="49"/>
  <c r="K28" i="40"/>
  <c r="K28" i="48"/>
  <c r="K28" i="44"/>
  <c r="K28" i="38"/>
  <c r="K28" i="41"/>
  <c r="K28" i="39"/>
  <c r="K28" i="47"/>
  <c r="K28" i="37"/>
  <c r="K28" i="43"/>
  <c r="K28" i="46"/>
  <c r="K28" i="50"/>
  <c r="BO8" i="47"/>
  <c r="AK48" i="47"/>
  <c r="AL48" i="47" s="1"/>
  <c r="AC14" i="47"/>
  <c r="AC28" i="47"/>
  <c r="BO22" i="47"/>
  <c r="AQ41" i="49"/>
  <c r="BO27" i="46"/>
  <c r="AK67" i="46"/>
  <c r="AL67" i="46" s="1"/>
  <c r="AC33" i="46"/>
  <c r="C73" i="52"/>
  <c r="W17" i="41"/>
  <c r="DF217" i="41" s="1"/>
  <c r="W15" i="41"/>
  <c r="DF215" i="41" s="1"/>
  <c r="W14" i="41"/>
  <c r="DF214" i="41" s="1"/>
  <c r="C76" i="52"/>
  <c r="W27" i="41"/>
  <c r="DF227" i="41" s="1"/>
  <c r="C77" i="52"/>
  <c r="W29" i="41"/>
  <c r="DF229" i="41" s="1"/>
  <c r="W19" i="41"/>
  <c r="DF219" i="41" s="1"/>
  <c r="W23" i="41"/>
  <c r="DF223" i="41" s="1"/>
  <c r="W22" i="41"/>
  <c r="DF222" i="41" s="1"/>
  <c r="V8" i="48"/>
  <c r="F54" i="45"/>
  <c r="F54" i="49"/>
  <c r="F54" i="44"/>
  <c r="C72" i="52"/>
  <c r="W21" i="41"/>
  <c r="DF221" i="41" s="1"/>
  <c r="W26" i="41"/>
  <c r="DF226" i="41" s="1"/>
  <c r="W30" i="41"/>
  <c r="DF230" i="41" s="1"/>
  <c r="W18" i="41"/>
  <c r="DF218" i="41" s="1"/>
  <c r="W11" i="41"/>
  <c r="DF211" i="41" s="1"/>
  <c r="V8" i="44"/>
  <c r="V8" i="47"/>
  <c r="F54" i="47"/>
  <c r="V8" i="49"/>
  <c r="C75" i="52"/>
  <c r="W31" i="41"/>
  <c r="DF231" i="41" s="1"/>
  <c r="C74" i="52"/>
  <c r="V8" i="45"/>
  <c r="F54" i="43"/>
  <c r="W13" i="41"/>
  <c r="DF213" i="41" s="1"/>
  <c r="W24" i="41"/>
  <c r="DF224" i="41" s="1"/>
  <c r="W28" i="41"/>
  <c r="DF228" i="41" s="1"/>
  <c r="V8" i="43"/>
  <c r="F54" i="46"/>
  <c r="W25" i="41"/>
  <c r="DF225" i="41" s="1"/>
  <c r="W12" i="41"/>
  <c r="DF212" i="41" s="1"/>
  <c r="V8" i="50"/>
  <c r="F54" i="50"/>
  <c r="W20" i="41"/>
  <c r="DF220" i="41" s="1"/>
  <c r="W16" i="41"/>
  <c r="DF216" i="41" s="1"/>
  <c r="V8" i="46"/>
  <c r="F54" i="48"/>
  <c r="K29" i="48"/>
  <c r="K29" i="47"/>
  <c r="K29" i="38"/>
  <c r="K29" i="43"/>
  <c r="K29" i="39"/>
  <c r="K29" i="46"/>
  <c r="K29" i="44"/>
  <c r="K29" i="41"/>
  <c r="K29" i="49"/>
  <c r="K29" i="40"/>
  <c r="K29" i="45"/>
  <c r="K29" i="37"/>
  <c r="K29" i="36"/>
  <c r="AA32" i="36" s="1"/>
  <c r="K29" i="50"/>
  <c r="O78" i="50"/>
  <c r="O78" i="49"/>
  <c r="O78" i="48"/>
  <c r="O79" i="46"/>
  <c r="O78" i="47"/>
  <c r="AC25" i="47"/>
  <c r="BO19" i="47"/>
  <c r="AK59" i="47"/>
  <c r="AL59" i="47" s="1"/>
  <c r="M78" i="50"/>
  <c r="M78" i="48"/>
  <c r="M78" i="46"/>
  <c r="M79" i="45"/>
  <c r="M78" i="47"/>
  <c r="M78" i="49"/>
  <c r="S29" i="49" l="1"/>
  <c r="DF229" i="39"/>
  <c r="S29" i="47"/>
  <c r="S29" i="50"/>
  <c r="S29" i="40"/>
  <c r="S29" i="43"/>
  <c r="S29" i="41"/>
  <c r="S29" i="45"/>
  <c r="S29" i="46"/>
  <c r="S29" i="48"/>
  <c r="S29" i="44"/>
  <c r="S30" i="50"/>
  <c r="DF230" i="39"/>
  <c r="S30" i="40"/>
  <c r="S30" i="45"/>
  <c r="S30" i="49"/>
  <c r="S30" i="47"/>
  <c r="S30" i="48"/>
  <c r="S30" i="46"/>
  <c r="S30" i="41"/>
  <c r="S30" i="43"/>
  <c r="S30" i="44"/>
  <c r="DF228" i="39"/>
  <c r="S28" i="49"/>
  <c r="S28" i="46"/>
  <c r="S28" i="45"/>
  <c r="S28" i="43"/>
  <c r="S28" i="40"/>
  <c r="S28" i="50"/>
  <c r="S28" i="44"/>
  <c r="S28" i="48"/>
  <c r="S28" i="41"/>
  <c r="S28" i="47"/>
  <c r="AF17" i="39"/>
  <c r="AG17" i="39" s="1"/>
  <c r="AF19" i="39"/>
  <c r="AG19" i="39" s="1"/>
  <c r="O28" i="48"/>
  <c r="O28" i="47"/>
  <c r="O28" i="44"/>
  <c r="O28" i="43"/>
  <c r="O28" i="39"/>
  <c r="O28" i="40"/>
  <c r="O28" i="46"/>
  <c r="DF228" i="37"/>
  <c r="O28" i="38"/>
  <c r="AA31" i="38" s="1"/>
  <c r="O28" i="41"/>
  <c r="O28" i="45"/>
  <c r="O28" i="49"/>
  <c r="O28" i="50"/>
  <c r="DF231" i="34"/>
  <c r="I31" i="47"/>
  <c r="I31" i="41"/>
  <c r="I31" i="46"/>
  <c r="I31" i="38"/>
  <c r="I31" i="36"/>
  <c r="I31" i="35"/>
  <c r="I31" i="40"/>
  <c r="I31" i="39"/>
  <c r="I31" i="44"/>
  <c r="I31" i="43"/>
  <c r="I31" i="37"/>
  <c r="I31" i="48"/>
  <c r="I31" i="49"/>
  <c r="I31" i="50"/>
  <c r="I31" i="45"/>
  <c r="DF228" i="34"/>
  <c r="I28" i="50"/>
  <c r="I28" i="40"/>
  <c r="I28" i="44"/>
  <c r="I28" i="38"/>
  <c r="I28" i="35"/>
  <c r="AA31" i="35" s="1"/>
  <c r="I28" i="47"/>
  <c r="I28" i="37"/>
  <c r="I28" i="46"/>
  <c r="I28" i="49"/>
  <c r="I28" i="39"/>
  <c r="I28" i="36"/>
  <c r="I28" i="45"/>
  <c r="I28" i="41"/>
  <c r="I28" i="48"/>
  <c r="I28" i="43"/>
  <c r="I30" i="45"/>
  <c r="DF230" i="34"/>
  <c r="I30" i="44"/>
  <c r="I30" i="43"/>
  <c r="I30" i="49"/>
  <c r="I30" i="48"/>
  <c r="I30" i="47"/>
  <c r="I30" i="50"/>
  <c r="I30" i="36"/>
  <c r="I30" i="38"/>
  <c r="I30" i="35"/>
  <c r="AA33" i="35" s="1"/>
  <c r="I30" i="40"/>
  <c r="I30" i="41"/>
  <c r="I30" i="46"/>
  <c r="I30" i="39"/>
  <c r="I30" i="37"/>
  <c r="AF15" i="24"/>
  <c r="AG15" i="24" s="1"/>
  <c r="AK62" i="50"/>
  <c r="AL62" i="50" s="1"/>
  <c r="AK64" i="50"/>
  <c r="AL64" i="50" s="1"/>
  <c r="AK63" i="46"/>
  <c r="AL63" i="46" s="1"/>
  <c r="BO24" i="48"/>
  <c r="AC29" i="46"/>
  <c r="U4" i="48"/>
  <c r="BO23" i="46"/>
  <c r="U50" i="48"/>
  <c r="BO22" i="39"/>
  <c r="BO21" i="48"/>
  <c r="BO22" i="48"/>
  <c r="AC27" i="48"/>
  <c r="K79" i="47"/>
  <c r="AK62" i="47"/>
  <c r="AL62" i="47" s="1"/>
  <c r="BP15" i="50"/>
  <c r="AK55" i="50"/>
  <c r="AL55" i="50" s="1"/>
  <c r="AC29" i="44"/>
  <c r="AK63" i="44"/>
  <c r="AL63" i="44" s="1"/>
  <c r="Q79" i="49"/>
  <c r="AK64" i="47"/>
  <c r="AL64" i="47" s="1"/>
  <c r="AK62" i="46"/>
  <c r="AL62" i="46" s="1"/>
  <c r="BO23" i="44"/>
  <c r="BO22" i="46"/>
  <c r="Q79" i="48"/>
  <c r="AM66" i="24"/>
  <c r="AN66" i="24" s="1"/>
  <c r="AM59" i="24"/>
  <c r="AN59" i="24" s="1"/>
  <c r="AM51" i="24"/>
  <c r="AN51" i="24" s="1"/>
  <c r="AM53" i="24"/>
  <c r="AN53" i="24" s="1"/>
  <c r="AM61" i="24"/>
  <c r="AN61" i="24" s="1"/>
  <c r="AM57" i="24"/>
  <c r="AN57" i="24" s="1"/>
  <c r="AM58" i="24"/>
  <c r="AN58" i="24" s="1"/>
  <c r="AM55" i="24"/>
  <c r="AN55" i="24" s="1"/>
  <c r="AM63" i="24"/>
  <c r="AN63" i="24" s="1"/>
  <c r="AM54" i="24"/>
  <c r="AN54" i="24" s="1"/>
  <c r="AM67" i="24"/>
  <c r="AN67" i="24" s="1"/>
  <c r="AM49" i="24"/>
  <c r="AN49" i="24" s="1"/>
  <c r="AM60" i="24"/>
  <c r="AN60" i="24" s="1"/>
  <c r="AM56" i="24"/>
  <c r="AN56" i="24" s="1"/>
  <c r="AM48" i="24"/>
  <c r="AN48" i="24" s="1"/>
  <c r="AM65" i="24"/>
  <c r="AN65" i="24" s="1"/>
  <c r="AL46" i="24"/>
  <c r="AL20" i="24" s="1"/>
  <c r="AM64" i="24"/>
  <c r="AN64" i="24" s="1"/>
  <c r="AM62" i="24"/>
  <c r="AN62" i="24" s="1"/>
  <c r="AM50" i="24"/>
  <c r="AN50" i="24" s="1"/>
  <c r="AM52" i="24"/>
  <c r="AN52" i="24" s="1"/>
  <c r="AP40" i="43"/>
  <c r="AN42" i="43"/>
  <c r="AN43" i="43" s="1"/>
  <c r="AP41" i="43"/>
  <c r="AP40" i="38"/>
  <c r="AN42" i="38"/>
  <c r="AN43" i="38" s="1"/>
  <c r="AQ40" i="35"/>
  <c r="AO42" i="35"/>
  <c r="AO43" i="35" s="1"/>
  <c r="BJ19" i="36"/>
  <c r="AK63" i="45"/>
  <c r="AL63" i="45" s="1"/>
  <c r="AE29" i="45"/>
  <c r="AF29" i="45" s="1"/>
  <c r="AG29" i="45" s="1"/>
  <c r="AC29" i="45"/>
  <c r="AE29" i="50"/>
  <c r="AF29" i="50" s="1"/>
  <c r="AG29" i="50" s="1"/>
  <c r="AK63" i="50"/>
  <c r="AL63" i="50" s="1"/>
  <c r="AL47" i="50" s="1"/>
  <c r="AC29" i="50"/>
  <c r="AE29" i="38"/>
  <c r="AF29" i="38" s="1"/>
  <c r="AG29" i="38" s="1"/>
  <c r="AE29" i="47"/>
  <c r="AF29" i="47" s="1"/>
  <c r="AG29" i="47" s="1"/>
  <c r="AC29" i="47"/>
  <c r="AK63" i="47"/>
  <c r="AL63" i="47" s="1"/>
  <c r="AK62" i="39"/>
  <c r="AL62" i="39" s="1"/>
  <c r="AE28" i="39"/>
  <c r="AF28" i="39" s="1"/>
  <c r="AG28" i="39" s="1"/>
  <c r="BJ21" i="37"/>
  <c r="AC28" i="50"/>
  <c r="AE28" i="50"/>
  <c r="AF28" i="50" s="1"/>
  <c r="AG28" i="50" s="1"/>
  <c r="AK62" i="48"/>
  <c r="AL62" i="48" s="1"/>
  <c r="AE28" i="48"/>
  <c r="AF28" i="48" s="1"/>
  <c r="AG28" i="48" s="1"/>
  <c r="AK63" i="48"/>
  <c r="AL63" i="48" s="1"/>
  <c r="AE29" i="48"/>
  <c r="AF29" i="48" s="1"/>
  <c r="AG29" i="48" s="1"/>
  <c r="BJ20" i="36"/>
  <c r="AK63" i="39"/>
  <c r="AL63" i="39" s="1"/>
  <c r="AE29" i="39"/>
  <c r="AF29" i="39" s="1"/>
  <c r="AG29" i="39" s="1"/>
  <c r="AE29" i="49"/>
  <c r="AF29" i="49" s="1"/>
  <c r="AG29" i="49" s="1"/>
  <c r="AC29" i="49"/>
  <c r="AK63" i="49"/>
  <c r="AL63" i="49" s="1"/>
  <c r="AC30" i="47"/>
  <c r="AE30" i="47"/>
  <c r="AF30" i="47" s="1"/>
  <c r="AG30" i="47" s="1"/>
  <c r="AC28" i="49"/>
  <c r="AE28" i="49"/>
  <c r="AF28" i="49" s="1"/>
  <c r="AG28" i="49" s="1"/>
  <c r="AK62" i="49"/>
  <c r="AL62" i="49" s="1"/>
  <c r="AC30" i="44"/>
  <c r="AE30" i="44"/>
  <c r="AF30" i="44" s="1"/>
  <c r="AG30" i="44" s="1"/>
  <c r="AK64" i="44"/>
  <c r="AL64" i="44" s="1"/>
  <c r="AC28" i="45"/>
  <c r="AE28" i="45"/>
  <c r="AF28" i="45" s="1"/>
  <c r="AG28" i="45" s="1"/>
  <c r="AK62" i="45"/>
  <c r="AL62" i="45" s="1"/>
  <c r="BJ21" i="36"/>
  <c r="BJ19" i="37"/>
  <c r="BJ20" i="37"/>
  <c r="AE30" i="38"/>
  <c r="AF30" i="38" s="1"/>
  <c r="AG30" i="38" s="1"/>
  <c r="AC30" i="49"/>
  <c r="AE30" i="49"/>
  <c r="AF30" i="49" s="1"/>
  <c r="AG30" i="49" s="1"/>
  <c r="AK64" i="49"/>
  <c r="AL64" i="49" s="1"/>
  <c r="AC30" i="50"/>
  <c r="AE30" i="50"/>
  <c r="AF30" i="50" s="1"/>
  <c r="AG30" i="50" s="1"/>
  <c r="AE28" i="38"/>
  <c r="AF28" i="38" s="1"/>
  <c r="AG28" i="38" s="1"/>
  <c r="AK64" i="48"/>
  <c r="AL64" i="48" s="1"/>
  <c r="AE30" i="48"/>
  <c r="AF30" i="48" s="1"/>
  <c r="AG30" i="48" s="1"/>
  <c r="BJ18" i="36"/>
  <c r="BJ18" i="37"/>
  <c r="U50" i="47"/>
  <c r="Q79" i="50"/>
  <c r="S79" i="49"/>
  <c r="U50" i="44"/>
  <c r="BP19" i="50"/>
  <c r="U4" i="43"/>
  <c r="A28" i="24"/>
  <c r="DA228" i="24" s="1"/>
  <c r="DF228" i="24"/>
  <c r="AC25" i="50"/>
  <c r="A11" i="24"/>
  <c r="DA211" i="24" s="1"/>
  <c r="A15" i="24"/>
  <c r="DA215" i="24" s="1"/>
  <c r="A30" i="24"/>
  <c r="DA230" i="24" s="1"/>
  <c r="DF230" i="24"/>
  <c r="A29" i="24"/>
  <c r="DA229" i="24" s="1"/>
  <c r="DF229" i="24"/>
  <c r="K79" i="45"/>
  <c r="AO41" i="34"/>
  <c r="AN42" i="34"/>
  <c r="AN43" i="34" s="1"/>
  <c r="AP40" i="34"/>
  <c r="K79" i="50"/>
  <c r="K79" i="46"/>
  <c r="K79" i="49"/>
  <c r="U4" i="44"/>
  <c r="AF25" i="24"/>
  <c r="AG25" i="24" s="1"/>
  <c r="U50" i="49"/>
  <c r="AF22" i="24"/>
  <c r="AG22" i="24" s="1"/>
  <c r="AK50" i="47"/>
  <c r="AL50" i="47" s="1"/>
  <c r="I79" i="47"/>
  <c r="AF18" i="24"/>
  <c r="AG18" i="24" s="1"/>
  <c r="U50" i="50"/>
  <c r="AF16" i="24"/>
  <c r="AG16" i="24" s="1"/>
  <c r="AK50" i="46"/>
  <c r="AL50" i="46" s="1"/>
  <c r="I79" i="50"/>
  <c r="I79" i="49"/>
  <c r="I79" i="44"/>
  <c r="AK49" i="47"/>
  <c r="AL49" i="47" s="1"/>
  <c r="AF14" i="24"/>
  <c r="I79" i="46"/>
  <c r="I79" i="48"/>
  <c r="I79" i="45"/>
  <c r="BO10" i="47"/>
  <c r="BO15" i="47"/>
  <c r="BO10" i="46"/>
  <c r="AC21" i="47"/>
  <c r="AC16" i="46"/>
  <c r="AK55" i="47"/>
  <c r="AL55" i="47" s="1"/>
  <c r="BO17" i="46"/>
  <c r="AC16" i="47"/>
  <c r="AK57" i="46"/>
  <c r="AL57" i="46" s="1"/>
  <c r="AC23" i="46"/>
  <c r="BO9" i="47"/>
  <c r="AC15" i="47"/>
  <c r="AK55" i="48"/>
  <c r="AL55" i="48" s="1"/>
  <c r="AE21" i="48"/>
  <c r="AF21" i="48" s="1"/>
  <c r="AG21" i="48" s="1"/>
  <c r="AC21" i="48"/>
  <c r="AC16" i="45"/>
  <c r="AE16" i="45"/>
  <c r="AF16" i="45" s="1"/>
  <c r="AK50" i="45"/>
  <c r="AL50" i="45" s="1"/>
  <c r="AK57" i="48"/>
  <c r="AL57" i="48" s="1"/>
  <c r="AC23" i="48"/>
  <c r="AE23" i="48"/>
  <c r="AF23" i="48" s="1"/>
  <c r="AG23" i="48" s="1"/>
  <c r="AE23" i="45"/>
  <c r="AF23" i="45" s="1"/>
  <c r="AG23" i="45" s="1"/>
  <c r="AK57" i="45"/>
  <c r="AL57" i="45" s="1"/>
  <c r="AC23" i="45"/>
  <c r="AE20" i="45"/>
  <c r="AF20" i="45" s="1"/>
  <c r="AG20" i="45" s="1"/>
  <c r="AC20" i="45"/>
  <c r="AK54" i="45"/>
  <c r="AL54" i="45" s="1"/>
  <c r="AE21" i="45"/>
  <c r="AF21" i="45" s="1"/>
  <c r="AG21" i="45" s="1"/>
  <c r="AC21" i="45"/>
  <c r="AK55" i="45"/>
  <c r="AL55" i="45" s="1"/>
  <c r="AE23" i="47"/>
  <c r="AF23" i="47" s="1"/>
  <c r="AG23" i="47" s="1"/>
  <c r="AK57" i="47"/>
  <c r="AL57" i="47" s="1"/>
  <c r="AC23" i="47"/>
  <c r="BO19" i="46"/>
  <c r="AE25" i="48"/>
  <c r="AF25" i="48" s="1"/>
  <c r="AG25" i="48" s="1"/>
  <c r="AK59" i="48"/>
  <c r="AL59" i="48" s="1"/>
  <c r="AC25" i="48"/>
  <c r="BO17" i="47"/>
  <c r="AK51" i="47"/>
  <c r="AL51" i="47" s="1"/>
  <c r="AC17" i="47"/>
  <c r="AE17" i="47"/>
  <c r="AF17" i="47" s="1"/>
  <c r="AG17" i="47" s="1"/>
  <c r="AK56" i="45"/>
  <c r="AL56" i="45" s="1"/>
  <c r="AC22" i="45"/>
  <c r="AE22" i="45"/>
  <c r="AF22" i="45" s="1"/>
  <c r="AG22" i="45" s="1"/>
  <c r="AK52" i="46"/>
  <c r="AL52" i="46" s="1"/>
  <c r="AE18" i="46"/>
  <c r="AF18" i="46" s="1"/>
  <c r="AG18" i="46" s="1"/>
  <c r="AC18" i="46"/>
  <c r="AE21" i="39"/>
  <c r="AF21" i="39" s="1"/>
  <c r="AC21" i="39"/>
  <c r="AK55" i="39"/>
  <c r="AL55" i="39" s="1"/>
  <c r="AC20" i="46"/>
  <c r="AC23" i="39"/>
  <c r="AK57" i="39"/>
  <c r="AL57" i="39" s="1"/>
  <c r="AE23" i="39"/>
  <c r="AF23" i="39" s="1"/>
  <c r="AG23" i="39" s="1"/>
  <c r="AC23" i="49"/>
  <c r="AK57" i="49"/>
  <c r="AL57" i="49" s="1"/>
  <c r="AE23" i="49"/>
  <c r="AF23" i="49" s="1"/>
  <c r="AG23" i="49" s="1"/>
  <c r="AG14" i="39"/>
  <c r="AE22" i="49"/>
  <c r="AF22" i="49" s="1"/>
  <c r="AG22" i="49" s="1"/>
  <c r="AC22" i="49"/>
  <c r="AK56" i="49"/>
  <c r="AL56" i="49" s="1"/>
  <c r="AK50" i="49"/>
  <c r="AL50" i="49" s="1"/>
  <c r="AE16" i="49"/>
  <c r="AF16" i="49" s="1"/>
  <c r="AC16" i="49"/>
  <c r="AC22" i="46"/>
  <c r="BO12" i="46"/>
  <c r="AC22" i="44"/>
  <c r="AE22" i="44"/>
  <c r="AF22" i="44" s="1"/>
  <c r="AG22" i="44" s="1"/>
  <c r="AK56" i="44"/>
  <c r="AL56" i="44" s="1"/>
  <c r="AC20" i="49"/>
  <c r="AE20" i="49"/>
  <c r="AF20" i="49" s="1"/>
  <c r="AG20" i="49" s="1"/>
  <c r="AK54" i="49"/>
  <c r="AL54" i="49" s="1"/>
  <c r="BJ15" i="36"/>
  <c r="BO14" i="46"/>
  <c r="AK56" i="46"/>
  <c r="AL56" i="46" s="1"/>
  <c r="AK59" i="46"/>
  <c r="AL59" i="46" s="1"/>
  <c r="BJ15" i="37"/>
  <c r="AG16" i="48"/>
  <c r="AK54" i="46"/>
  <c r="AL54" i="46" s="1"/>
  <c r="BO16" i="46"/>
  <c r="AC25" i="46"/>
  <c r="BJ16" i="36"/>
  <c r="BJ17" i="36"/>
  <c r="BJ16" i="37"/>
  <c r="BO26" i="37"/>
  <c r="AK66" i="37"/>
  <c r="AL66" i="37" s="1"/>
  <c r="AC32" i="37"/>
  <c r="AC33" i="37"/>
  <c r="AK67" i="37"/>
  <c r="AL67" i="37" s="1"/>
  <c r="BO27" i="37"/>
  <c r="AP40" i="24"/>
  <c r="AN42" i="24"/>
  <c r="AN43" i="24" s="1"/>
  <c r="AO41" i="24"/>
  <c r="G28" i="50"/>
  <c r="G28" i="44"/>
  <c r="G28" i="49"/>
  <c r="G28" i="45"/>
  <c r="G28" i="34"/>
  <c r="AA31" i="34" s="1"/>
  <c r="G28" i="46"/>
  <c r="G28" i="40"/>
  <c r="G28" i="35"/>
  <c r="G28" i="41"/>
  <c r="G28" i="37"/>
  <c r="G28" i="43"/>
  <c r="G28" i="36"/>
  <c r="G28" i="47"/>
  <c r="G28" i="38"/>
  <c r="G28" i="48"/>
  <c r="G28" i="39"/>
  <c r="AO41" i="41"/>
  <c r="AN42" i="41"/>
  <c r="AN43" i="41" s="1"/>
  <c r="AP40" i="41"/>
  <c r="A15" i="34"/>
  <c r="DA215" i="34" s="1"/>
  <c r="BO25" i="37"/>
  <c r="AC31" i="37"/>
  <c r="AK65" i="37"/>
  <c r="AL65" i="37" s="1"/>
  <c r="G30" i="47"/>
  <c r="G30" i="49"/>
  <c r="G30" i="38"/>
  <c r="G30" i="50"/>
  <c r="G30" i="41"/>
  <c r="G30" i="37"/>
  <c r="G30" i="48"/>
  <c r="G30" i="45"/>
  <c r="G30" i="40"/>
  <c r="G30" i="46"/>
  <c r="G30" i="43"/>
  <c r="G30" i="36"/>
  <c r="G30" i="34"/>
  <c r="AA33" i="34" s="1"/>
  <c r="G30" i="44"/>
  <c r="G30" i="39"/>
  <c r="G30" i="35"/>
  <c r="G29" i="34"/>
  <c r="AA32" i="34" s="1"/>
  <c r="G29" i="49"/>
  <c r="G29" i="41"/>
  <c r="G29" i="35"/>
  <c r="G29" i="47"/>
  <c r="G29" i="43"/>
  <c r="G29" i="36"/>
  <c r="G29" i="40"/>
  <c r="G29" i="46"/>
  <c r="G29" i="38"/>
  <c r="G29" i="44"/>
  <c r="G29" i="37"/>
  <c r="G29" i="50"/>
  <c r="G29" i="45"/>
  <c r="G29" i="48"/>
  <c r="G29" i="39"/>
  <c r="U50" i="45"/>
  <c r="M79" i="47"/>
  <c r="M79" i="49"/>
  <c r="M79" i="50"/>
  <c r="M79" i="48"/>
  <c r="U4" i="45"/>
  <c r="M79" i="46"/>
  <c r="G72" i="43"/>
  <c r="G72" i="49"/>
  <c r="W26" i="44"/>
  <c r="W26" i="47"/>
  <c r="W26" i="46"/>
  <c r="W26" i="50"/>
  <c r="G72" i="47"/>
  <c r="W26" i="43"/>
  <c r="A26" i="43" s="1"/>
  <c r="W26" i="48"/>
  <c r="W26" i="45"/>
  <c r="G72" i="46"/>
  <c r="W26" i="49"/>
  <c r="G72" i="44"/>
  <c r="G72" i="48"/>
  <c r="G72" i="50"/>
  <c r="G72" i="45"/>
  <c r="G69" i="43"/>
  <c r="W23" i="48"/>
  <c r="G69" i="50"/>
  <c r="W23" i="43"/>
  <c r="A23" i="43" s="1"/>
  <c r="W23" i="44"/>
  <c r="W23" i="50"/>
  <c r="W23" i="47"/>
  <c r="W23" i="45"/>
  <c r="W23" i="49"/>
  <c r="G69" i="49"/>
  <c r="G69" i="44"/>
  <c r="G69" i="46"/>
  <c r="G69" i="45"/>
  <c r="W23" i="46"/>
  <c r="G69" i="47"/>
  <c r="G69" i="48"/>
  <c r="G73" i="49"/>
  <c r="W27" i="44"/>
  <c r="G73" i="50"/>
  <c r="G73" i="46"/>
  <c r="G73" i="43"/>
  <c r="G73" i="48"/>
  <c r="G73" i="45"/>
  <c r="W27" i="47"/>
  <c r="W27" i="45"/>
  <c r="W27" i="46"/>
  <c r="G73" i="47"/>
  <c r="W27" i="48"/>
  <c r="G73" i="44"/>
  <c r="W27" i="43"/>
  <c r="A27" i="43" s="1"/>
  <c r="W27" i="50"/>
  <c r="W27" i="49"/>
  <c r="G63" i="43"/>
  <c r="W17" i="49"/>
  <c r="G63" i="49"/>
  <c r="W17" i="48"/>
  <c r="W17" i="50"/>
  <c r="G63" i="46"/>
  <c r="G63" i="45"/>
  <c r="W17" i="47"/>
  <c r="G63" i="44"/>
  <c r="W17" i="44"/>
  <c r="G63" i="48"/>
  <c r="W17" i="46"/>
  <c r="W17" i="43"/>
  <c r="A17" i="43" s="1"/>
  <c r="G63" i="47"/>
  <c r="W17" i="45"/>
  <c r="G63" i="50"/>
  <c r="AK65" i="36"/>
  <c r="AL65" i="36" s="1"/>
  <c r="BO25" i="36"/>
  <c r="AC31" i="36"/>
  <c r="AO42" i="46"/>
  <c r="AO43" i="46" s="1"/>
  <c r="AQ40" i="46"/>
  <c r="AP42" i="46" s="1"/>
  <c r="AP43" i="46" s="1"/>
  <c r="AK67" i="36"/>
  <c r="AL67" i="36" s="1"/>
  <c r="BO27" i="36"/>
  <c r="AC33" i="36"/>
  <c r="G62" i="43"/>
  <c r="G62" i="50"/>
  <c r="W16" i="49"/>
  <c r="W16" i="48"/>
  <c r="G62" i="49"/>
  <c r="G62" i="48"/>
  <c r="G62" i="46"/>
  <c r="W16" i="46"/>
  <c r="W16" i="47"/>
  <c r="W16" i="44"/>
  <c r="W16" i="45"/>
  <c r="G62" i="44"/>
  <c r="G62" i="47"/>
  <c r="W16" i="43"/>
  <c r="A16" i="43" s="1"/>
  <c r="W16" i="50"/>
  <c r="G62" i="45"/>
  <c r="G58" i="43"/>
  <c r="W12" i="48"/>
  <c r="G58" i="45"/>
  <c r="W12" i="44"/>
  <c r="G58" i="46"/>
  <c r="W12" i="50"/>
  <c r="G58" i="48"/>
  <c r="G58" i="49"/>
  <c r="G58" i="50"/>
  <c r="W12" i="43"/>
  <c r="A12" i="43" s="1"/>
  <c r="W12" i="49"/>
  <c r="W12" i="45"/>
  <c r="G58" i="44"/>
  <c r="W12" i="46"/>
  <c r="G58" i="47"/>
  <c r="W12" i="47"/>
  <c r="G74" i="43"/>
  <c r="AA31" i="43" s="1"/>
  <c r="G74" i="49"/>
  <c r="W28" i="45"/>
  <c r="G74" i="45"/>
  <c r="G74" i="46"/>
  <c r="W28" i="50"/>
  <c r="G74" i="47"/>
  <c r="G74" i="48"/>
  <c r="W28" i="43"/>
  <c r="A28" i="43" s="1"/>
  <c r="W28" i="49"/>
  <c r="W28" i="48"/>
  <c r="G74" i="44"/>
  <c r="G74" i="50"/>
  <c r="W28" i="44"/>
  <c r="W28" i="47"/>
  <c r="W28" i="46"/>
  <c r="W11" i="48"/>
  <c r="W11" i="50"/>
  <c r="G57" i="46"/>
  <c r="W11" i="43"/>
  <c r="A11" i="43" s="1"/>
  <c r="G57" i="49"/>
  <c r="G57" i="47"/>
  <c r="W11" i="45"/>
  <c r="G57" i="44"/>
  <c r="G57" i="48"/>
  <c r="W11" i="44"/>
  <c r="G57" i="50"/>
  <c r="G57" i="45"/>
  <c r="W11" i="47"/>
  <c r="G57" i="43"/>
  <c r="W11" i="49"/>
  <c r="W32" i="41"/>
  <c r="DF232" i="41" s="1"/>
  <c r="W11" i="46"/>
  <c r="G67" i="43"/>
  <c r="G67" i="50"/>
  <c r="G67" i="46"/>
  <c r="W21" i="48"/>
  <c r="W21" i="50"/>
  <c r="G67" i="48"/>
  <c r="G67" i="44"/>
  <c r="G67" i="45"/>
  <c r="W21" i="45"/>
  <c r="W21" i="46"/>
  <c r="W21" i="47"/>
  <c r="W21" i="44"/>
  <c r="G67" i="49"/>
  <c r="W21" i="43"/>
  <c r="A21" i="43" s="1"/>
  <c r="G67" i="47"/>
  <c r="W21" i="49"/>
  <c r="W19" i="49"/>
  <c r="W19" i="48"/>
  <c r="G65" i="44"/>
  <c r="W19" i="46"/>
  <c r="G65" i="43"/>
  <c r="W19" i="47"/>
  <c r="G65" i="46"/>
  <c r="W19" i="44"/>
  <c r="G65" i="48"/>
  <c r="W19" i="43"/>
  <c r="A19" i="43" s="1"/>
  <c r="W19" i="45"/>
  <c r="G65" i="45"/>
  <c r="G65" i="50"/>
  <c r="G65" i="47"/>
  <c r="G65" i="49"/>
  <c r="W19" i="50"/>
  <c r="AP40" i="37"/>
  <c r="AP41" i="37" s="1"/>
  <c r="AN42" i="37"/>
  <c r="AN43" i="37" s="1"/>
  <c r="AQ40" i="44"/>
  <c r="AP42" i="44" s="1"/>
  <c r="AP43" i="44" s="1"/>
  <c r="AO42" i="44"/>
  <c r="AO43" i="44" s="1"/>
  <c r="U4" i="46"/>
  <c r="O79" i="50"/>
  <c r="U50" i="46"/>
  <c r="O79" i="49"/>
  <c r="O79" i="47"/>
  <c r="O79" i="48"/>
  <c r="G66" i="50"/>
  <c r="G66" i="46"/>
  <c r="G66" i="47"/>
  <c r="G66" i="49"/>
  <c r="G66" i="43"/>
  <c r="W20" i="47"/>
  <c r="W20" i="50"/>
  <c r="W20" i="43"/>
  <c r="A20" i="43" s="1"/>
  <c r="W20" i="45"/>
  <c r="W20" i="44"/>
  <c r="W20" i="49"/>
  <c r="G66" i="48"/>
  <c r="G66" i="45"/>
  <c r="W20" i="48"/>
  <c r="W20" i="46"/>
  <c r="G66" i="44"/>
  <c r="W25" i="49"/>
  <c r="W25" i="50"/>
  <c r="W25" i="44"/>
  <c r="G71" i="45"/>
  <c r="G71" i="43"/>
  <c r="G71" i="50"/>
  <c r="W25" i="48"/>
  <c r="G71" i="46"/>
  <c r="G71" i="47"/>
  <c r="W25" i="47"/>
  <c r="G71" i="49"/>
  <c r="W25" i="43"/>
  <c r="A25" i="43" s="1"/>
  <c r="G71" i="48"/>
  <c r="W25" i="45"/>
  <c r="G71" i="44"/>
  <c r="W25" i="46"/>
  <c r="W24" i="50"/>
  <c r="W24" i="47"/>
  <c r="G70" i="49"/>
  <c r="W24" i="43"/>
  <c r="A24" i="43" s="1"/>
  <c r="G70" i="43"/>
  <c r="W24" i="49"/>
  <c r="G70" i="46"/>
  <c r="W24" i="48"/>
  <c r="W24" i="45"/>
  <c r="G70" i="44"/>
  <c r="G70" i="45"/>
  <c r="W24" i="46"/>
  <c r="G70" i="47"/>
  <c r="G70" i="48"/>
  <c r="G70" i="50"/>
  <c r="W24" i="44"/>
  <c r="W18" i="49"/>
  <c r="G64" i="49"/>
  <c r="G64" i="44"/>
  <c r="W18" i="46"/>
  <c r="G64" i="43"/>
  <c r="W18" i="47"/>
  <c r="G64" i="46"/>
  <c r="G64" i="45"/>
  <c r="W18" i="43"/>
  <c r="A18" i="43" s="1"/>
  <c r="G64" i="48"/>
  <c r="W18" i="44"/>
  <c r="W18" i="50"/>
  <c r="W18" i="48"/>
  <c r="G64" i="50"/>
  <c r="W18" i="45"/>
  <c r="G64" i="47"/>
  <c r="G75" i="43"/>
  <c r="AA32" i="43" s="1"/>
  <c r="G75" i="47"/>
  <c r="W29" i="45"/>
  <c r="G75" i="50"/>
  <c r="G75" i="44"/>
  <c r="G75" i="48"/>
  <c r="W29" i="44"/>
  <c r="W29" i="46"/>
  <c r="W29" i="50"/>
  <c r="W29" i="48"/>
  <c r="G75" i="45"/>
  <c r="W29" i="49"/>
  <c r="W29" i="43"/>
  <c r="A29" i="43" s="1"/>
  <c r="G75" i="49"/>
  <c r="W29" i="47"/>
  <c r="G75" i="46"/>
  <c r="G60" i="43"/>
  <c r="W14" i="48"/>
  <c r="W14" i="50"/>
  <c r="G60" i="44"/>
  <c r="G60" i="50"/>
  <c r="G60" i="48"/>
  <c r="G60" i="47"/>
  <c r="W14" i="44"/>
  <c r="W14" i="49"/>
  <c r="G60" i="46"/>
  <c r="W14" i="47"/>
  <c r="G60" i="45"/>
  <c r="W14" i="43"/>
  <c r="A14" i="43" s="1"/>
  <c r="G60" i="49"/>
  <c r="W14" i="46"/>
  <c r="W14" i="45"/>
  <c r="BO26" i="36"/>
  <c r="AK66" i="36"/>
  <c r="AL66" i="36" s="1"/>
  <c r="AC32" i="36"/>
  <c r="W13" i="50"/>
  <c r="G59" i="48"/>
  <c r="G59" i="44"/>
  <c r="G59" i="50"/>
  <c r="G59" i="49"/>
  <c r="W13" i="47"/>
  <c r="W13" i="45"/>
  <c r="W13" i="48"/>
  <c r="W13" i="43"/>
  <c r="A13" i="43" s="1"/>
  <c r="G59" i="43"/>
  <c r="W13" i="46"/>
  <c r="W13" i="44"/>
  <c r="G59" i="46"/>
  <c r="G59" i="47"/>
  <c r="W13" i="49"/>
  <c r="G59" i="45"/>
  <c r="W31" i="50"/>
  <c r="G77" i="46"/>
  <c r="G77" i="50"/>
  <c r="G77" i="44"/>
  <c r="W31" i="43"/>
  <c r="W31" i="49"/>
  <c r="W31" i="45"/>
  <c r="G77" i="48"/>
  <c r="G77" i="45"/>
  <c r="W31" i="46"/>
  <c r="G77" i="43"/>
  <c r="G77" i="47"/>
  <c r="G77" i="49"/>
  <c r="W31" i="48"/>
  <c r="W31" i="47"/>
  <c r="W31" i="44"/>
  <c r="G76" i="50"/>
  <c r="G76" i="47"/>
  <c r="W30" i="47"/>
  <c r="G76" i="44"/>
  <c r="G76" i="49"/>
  <c r="W30" i="45"/>
  <c r="W30" i="46"/>
  <c r="G76" i="46"/>
  <c r="G76" i="48"/>
  <c r="W30" i="50"/>
  <c r="W30" i="49"/>
  <c r="W30" i="44"/>
  <c r="G76" i="45"/>
  <c r="G76" i="43"/>
  <c r="AA33" i="43" s="1"/>
  <c r="W30" i="43"/>
  <c r="A30" i="43" s="1"/>
  <c r="W30" i="48"/>
  <c r="W22" i="50"/>
  <c r="W22" i="47"/>
  <c r="G68" i="46"/>
  <c r="G68" i="45"/>
  <c r="G68" i="50"/>
  <c r="W22" i="44"/>
  <c r="G68" i="44"/>
  <c r="W22" i="43"/>
  <c r="A22" i="43" s="1"/>
  <c r="W22" i="48"/>
  <c r="W22" i="45"/>
  <c r="G68" i="43"/>
  <c r="G68" i="47"/>
  <c r="G68" i="48"/>
  <c r="G68" i="49"/>
  <c r="W22" i="49"/>
  <c r="W22" i="46"/>
  <c r="W15" i="50"/>
  <c r="G61" i="48"/>
  <c r="G61" i="50"/>
  <c r="G61" i="45"/>
  <c r="G61" i="43"/>
  <c r="G61" i="47"/>
  <c r="W15" i="43"/>
  <c r="A15" i="43" s="1"/>
  <c r="W15" i="46"/>
  <c r="G61" i="46"/>
  <c r="W15" i="44"/>
  <c r="W15" i="45"/>
  <c r="G61" i="44"/>
  <c r="W15" i="47"/>
  <c r="G61" i="49"/>
  <c r="W15" i="48"/>
  <c r="W15" i="49"/>
  <c r="AN42" i="36"/>
  <c r="AN43" i="36" s="1"/>
  <c r="AP40" i="36"/>
  <c r="AA31" i="40" l="1"/>
  <c r="U28" i="40"/>
  <c r="AA33" i="40"/>
  <c r="U30" i="40"/>
  <c r="AA32" i="40"/>
  <c r="U29" i="40"/>
  <c r="AK65" i="40"/>
  <c r="AL65" i="40" s="1"/>
  <c r="AC31" i="40"/>
  <c r="BO25" i="40"/>
  <c r="AC33" i="40"/>
  <c r="AK67" i="40"/>
  <c r="AL67" i="40" s="1"/>
  <c r="BO27" i="40"/>
  <c r="AK66" i="40"/>
  <c r="AL66" i="40" s="1"/>
  <c r="AC32" i="40"/>
  <c r="BO26" i="40"/>
  <c r="AK65" i="38"/>
  <c r="AL65" i="38" s="1"/>
  <c r="AC31" i="38"/>
  <c r="BO25" i="38"/>
  <c r="AK67" i="35"/>
  <c r="AL67" i="35" s="1"/>
  <c r="AC33" i="35"/>
  <c r="BO27" i="35"/>
  <c r="AK65" i="35"/>
  <c r="AL65" i="35" s="1"/>
  <c r="AC31" i="35"/>
  <c r="BO25" i="35"/>
  <c r="AM48" i="50"/>
  <c r="AN48" i="50" s="1"/>
  <c r="AM58" i="50"/>
  <c r="AN58" i="50" s="1"/>
  <c r="AM53" i="50"/>
  <c r="AN53" i="50" s="1"/>
  <c r="AM51" i="50"/>
  <c r="AN51" i="50" s="1"/>
  <c r="AM56" i="50"/>
  <c r="AN56" i="50" s="1"/>
  <c r="AM67" i="50"/>
  <c r="AN67" i="50" s="1"/>
  <c r="AG3" i="50"/>
  <c r="BC12" i="50" s="1"/>
  <c r="BC24" i="50" s="1"/>
  <c r="AG2" i="50"/>
  <c r="AC43" i="50" s="1"/>
  <c r="BI22" i="24"/>
  <c r="BN25" i="24"/>
  <c r="AP42" i="35"/>
  <c r="AP43" i="35" s="1"/>
  <c r="AK43" i="35" s="1"/>
  <c r="AQ41" i="35"/>
  <c r="AP41" i="38"/>
  <c r="AO42" i="38"/>
  <c r="AO43" i="38" s="1"/>
  <c r="AQ40" i="38"/>
  <c r="AO42" i="43"/>
  <c r="AO43" i="43" s="1"/>
  <c r="AQ40" i="43"/>
  <c r="AP42" i="43" s="1"/>
  <c r="AP43" i="43" s="1"/>
  <c r="AQ41" i="43"/>
  <c r="AN47" i="24"/>
  <c r="BJ21" i="34"/>
  <c r="BJ21" i="41"/>
  <c r="BJ20" i="41"/>
  <c r="BJ20" i="34"/>
  <c r="BJ19" i="41"/>
  <c r="AA28" i="43"/>
  <c r="AE28" i="43" s="1"/>
  <c r="AF28" i="43" s="1"/>
  <c r="AG28" i="43" s="1"/>
  <c r="BJ19" i="43"/>
  <c r="AA30" i="43"/>
  <c r="AE30" i="43" s="1"/>
  <c r="AF30" i="43" s="1"/>
  <c r="AG30" i="43" s="1"/>
  <c r="BJ21" i="43"/>
  <c r="AA29" i="43"/>
  <c r="AE29" i="43" s="1"/>
  <c r="AF29" i="43" s="1"/>
  <c r="AG29" i="43" s="1"/>
  <c r="BJ20" i="43"/>
  <c r="BJ19" i="34"/>
  <c r="AA27" i="43"/>
  <c r="AE27" i="43" s="1"/>
  <c r="AF27" i="43" s="1"/>
  <c r="AG27" i="43" s="1"/>
  <c r="BJ18" i="43"/>
  <c r="BJ18" i="34"/>
  <c r="BJ18" i="41"/>
  <c r="A28" i="34"/>
  <c r="DA228" i="34" s="1"/>
  <c r="BI5" i="24"/>
  <c r="A30" i="34"/>
  <c r="DA230" i="34" s="1"/>
  <c r="A29" i="34"/>
  <c r="DA229" i="34" s="1"/>
  <c r="BN8" i="24"/>
  <c r="BI24" i="24"/>
  <c r="BN26" i="24"/>
  <c r="A11" i="34"/>
  <c r="DA211" i="34" s="1"/>
  <c r="BN27" i="24"/>
  <c r="BI23" i="24"/>
  <c r="AL46" i="50"/>
  <c r="AL20" i="50" s="1"/>
  <c r="AL21" i="50" s="1"/>
  <c r="AM21" i="50" s="1"/>
  <c r="AM65" i="50"/>
  <c r="AN65" i="50" s="1"/>
  <c r="AM64" i="50"/>
  <c r="AN64" i="50" s="1"/>
  <c r="AM52" i="50"/>
  <c r="AN52" i="50" s="1"/>
  <c r="AM57" i="50"/>
  <c r="AN57" i="50" s="1"/>
  <c r="AM59" i="50"/>
  <c r="AN59" i="50" s="1"/>
  <c r="AM60" i="50"/>
  <c r="AN60" i="50" s="1"/>
  <c r="AM50" i="50"/>
  <c r="AN50" i="50" s="1"/>
  <c r="AM62" i="50"/>
  <c r="AN62" i="50" s="1"/>
  <c r="AM54" i="50"/>
  <c r="AN54" i="50" s="1"/>
  <c r="AM63" i="50"/>
  <c r="AN63" i="50" s="1"/>
  <c r="AM49" i="50"/>
  <c r="AN49" i="50" s="1"/>
  <c r="AM55" i="50"/>
  <c r="AN55" i="50" s="1"/>
  <c r="AM66" i="50"/>
  <c r="AN66" i="50" s="1"/>
  <c r="AM61" i="50"/>
  <c r="AN61" i="50" s="1"/>
  <c r="BN12" i="24"/>
  <c r="BI9" i="24"/>
  <c r="AQ40" i="34"/>
  <c r="AO42" i="34"/>
  <c r="AO43" i="34" s="1"/>
  <c r="AP41" i="34"/>
  <c r="AG3" i="24"/>
  <c r="BC12" i="24" s="1"/>
  <c r="BC23" i="24" s="1"/>
  <c r="AG2" i="24"/>
  <c r="AC43" i="24" s="1"/>
  <c r="AG14" i="24"/>
  <c r="AG2" i="47"/>
  <c r="AC43" i="47" s="1"/>
  <c r="AG3" i="47"/>
  <c r="BC12" i="47" s="1"/>
  <c r="BC23" i="47" s="1"/>
  <c r="AL47" i="47"/>
  <c r="AM58" i="47" s="1"/>
  <c r="AN58" i="47" s="1"/>
  <c r="AG3" i="46"/>
  <c r="BC12" i="46" s="1"/>
  <c r="BC24" i="46" s="1"/>
  <c r="AG2" i="46"/>
  <c r="AC43" i="46" s="1"/>
  <c r="AG3" i="44"/>
  <c r="BC12" i="44" s="1"/>
  <c r="BC29" i="44" s="1"/>
  <c r="AL47" i="45"/>
  <c r="AM56" i="45" s="1"/>
  <c r="AN56" i="45" s="1"/>
  <c r="AG2" i="48"/>
  <c r="AC43" i="48" s="1"/>
  <c r="AL47" i="39"/>
  <c r="AM57" i="39" s="1"/>
  <c r="AN57" i="39" s="1"/>
  <c r="AG3" i="48"/>
  <c r="BC12" i="48" s="1"/>
  <c r="AL47" i="48"/>
  <c r="AL47" i="49"/>
  <c r="AM57" i="49" s="1"/>
  <c r="AN57" i="49" s="1"/>
  <c r="AG16" i="45"/>
  <c r="AG2" i="45"/>
  <c r="AC43" i="45" s="1"/>
  <c r="AG3" i="45"/>
  <c r="BC12" i="45" s="1"/>
  <c r="AL47" i="44"/>
  <c r="AM56" i="44" s="1"/>
  <c r="AN56" i="44" s="1"/>
  <c r="AL47" i="46"/>
  <c r="AM59" i="46" s="1"/>
  <c r="AN59" i="46" s="1"/>
  <c r="AG16" i="49"/>
  <c r="AG3" i="49"/>
  <c r="BC12" i="49" s="1"/>
  <c r="AG2" i="49"/>
  <c r="AC43" i="49" s="1"/>
  <c r="AG2" i="44"/>
  <c r="AC43" i="44" s="1"/>
  <c r="AG21" i="39"/>
  <c r="AG2" i="39"/>
  <c r="AC43" i="39" s="1"/>
  <c r="AG3" i="39"/>
  <c r="BC12" i="39" s="1"/>
  <c r="BJ16" i="41"/>
  <c r="BJ15" i="34"/>
  <c r="BJ17" i="41"/>
  <c r="AA18" i="43"/>
  <c r="AE18" i="43" s="1"/>
  <c r="AF18" i="43" s="1"/>
  <c r="AG18" i="43" s="1"/>
  <c r="BJ9" i="43"/>
  <c r="AA25" i="43"/>
  <c r="AE25" i="43" s="1"/>
  <c r="AF25" i="43" s="1"/>
  <c r="AG25" i="43" s="1"/>
  <c r="BJ16" i="43"/>
  <c r="AA17" i="43"/>
  <c r="AE17" i="43" s="1"/>
  <c r="AF17" i="43" s="1"/>
  <c r="AG17" i="43" s="1"/>
  <c r="BJ8" i="43"/>
  <c r="AA21" i="43"/>
  <c r="AE21" i="43" s="1"/>
  <c r="AF21" i="43" s="1"/>
  <c r="AG21" i="43" s="1"/>
  <c r="BJ12" i="43"/>
  <c r="AA23" i="43"/>
  <c r="AE23" i="43" s="1"/>
  <c r="AF23" i="43" s="1"/>
  <c r="AG23" i="43" s="1"/>
  <c r="BJ14" i="43"/>
  <c r="AA22" i="43"/>
  <c r="AE22" i="43" s="1"/>
  <c r="AF22" i="43" s="1"/>
  <c r="AG22" i="43" s="1"/>
  <c r="BJ13" i="43"/>
  <c r="AA24" i="43"/>
  <c r="AE24" i="43" s="1"/>
  <c r="AF24" i="43" s="1"/>
  <c r="AG24" i="43" s="1"/>
  <c r="BJ15" i="43"/>
  <c r="AA14" i="43"/>
  <c r="AE14" i="43" s="1"/>
  <c r="AF14" i="43" s="1"/>
  <c r="BJ5" i="43"/>
  <c r="BJ17" i="34"/>
  <c r="AA16" i="43"/>
  <c r="AE16" i="43" s="1"/>
  <c r="AF16" i="43" s="1"/>
  <c r="AG16" i="43" s="1"/>
  <c r="BJ7" i="43"/>
  <c r="AA15" i="43"/>
  <c r="AE15" i="43" s="1"/>
  <c r="AF15" i="43" s="1"/>
  <c r="AG15" i="43" s="1"/>
  <c r="BJ6" i="43"/>
  <c r="AA19" i="43"/>
  <c r="AE19" i="43" s="1"/>
  <c r="AF19" i="43" s="1"/>
  <c r="AG19" i="43" s="1"/>
  <c r="BJ10" i="43"/>
  <c r="AA20" i="43"/>
  <c r="AE20" i="43" s="1"/>
  <c r="AF20" i="43" s="1"/>
  <c r="AG20" i="43" s="1"/>
  <c r="BJ11" i="43"/>
  <c r="AA26" i="43"/>
  <c r="AE26" i="43" s="1"/>
  <c r="AF26" i="43" s="1"/>
  <c r="AG26" i="43" s="1"/>
  <c r="BJ17" i="43"/>
  <c r="BJ16" i="34"/>
  <c r="BJ15" i="41"/>
  <c r="AK43" i="46"/>
  <c r="A30" i="35"/>
  <c r="DA230" i="35" s="1"/>
  <c r="AQ41" i="44"/>
  <c r="AK66" i="34"/>
  <c r="AL66" i="34" s="1"/>
  <c r="AC32" i="34"/>
  <c r="BO26" i="34"/>
  <c r="BO27" i="34"/>
  <c r="AC33" i="34"/>
  <c r="AK67" i="34"/>
  <c r="AL67" i="34" s="1"/>
  <c r="BI23" i="34"/>
  <c r="BN26" i="34"/>
  <c r="A29" i="35"/>
  <c r="DA229" i="35" s="1"/>
  <c r="AK65" i="34"/>
  <c r="AL65" i="34" s="1"/>
  <c r="BO25" i="34"/>
  <c r="AC31" i="34"/>
  <c r="AO42" i="24"/>
  <c r="AO43" i="24" s="1"/>
  <c r="AQ40" i="24"/>
  <c r="AP42" i="24" s="1"/>
  <c r="AP43" i="24" s="1"/>
  <c r="AQ41" i="24"/>
  <c r="A15" i="35"/>
  <c r="DA215" i="35" s="1"/>
  <c r="BN12" i="34"/>
  <c r="BI9" i="34"/>
  <c r="BN8" i="34"/>
  <c r="AP41" i="41"/>
  <c r="AO42" i="41"/>
  <c r="AO43" i="41" s="1"/>
  <c r="AQ40" i="41"/>
  <c r="AP42" i="41" s="1"/>
  <c r="AP43" i="41" s="1"/>
  <c r="AP41" i="24"/>
  <c r="AQ40" i="36"/>
  <c r="AP42" i="36" s="1"/>
  <c r="AP43" i="36" s="1"/>
  <c r="AO42" i="36"/>
  <c r="AO43" i="36" s="1"/>
  <c r="BO27" i="43"/>
  <c r="AC33" i="43"/>
  <c r="AK67" i="43"/>
  <c r="AL67" i="43" s="1"/>
  <c r="AC31" i="43"/>
  <c r="AK65" i="43"/>
  <c r="AL65" i="43" s="1"/>
  <c r="BO25" i="43"/>
  <c r="AC30" i="43"/>
  <c r="AK64" i="43"/>
  <c r="AL64" i="43" s="1"/>
  <c r="BO24" i="43"/>
  <c r="W33" i="41"/>
  <c r="U4" i="41" s="1"/>
  <c r="G78" i="49"/>
  <c r="G79" i="49" s="1"/>
  <c r="W32" i="48"/>
  <c r="W33" i="48" s="1"/>
  <c r="G78" i="50"/>
  <c r="G79" i="50" s="1"/>
  <c r="W32" i="46"/>
  <c r="W33" i="46" s="1"/>
  <c r="W32" i="43"/>
  <c r="W33" i="43" s="1"/>
  <c r="G78" i="43"/>
  <c r="G79" i="43" s="1"/>
  <c r="G78" i="44"/>
  <c r="G79" i="44" s="1"/>
  <c r="W32" i="45"/>
  <c r="W33" i="45" s="1"/>
  <c r="W32" i="49"/>
  <c r="W33" i="49" s="1"/>
  <c r="G78" i="47"/>
  <c r="G79" i="47" s="1"/>
  <c r="W32" i="44"/>
  <c r="W33" i="44" s="1"/>
  <c r="G78" i="45"/>
  <c r="G79" i="45" s="1"/>
  <c r="W32" i="50"/>
  <c r="W33" i="50" s="1"/>
  <c r="W32" i="47"/>
  <c r="W33" i="47" s="1"/>
  <c r="G78" i="48"/>
  <c r="G79" i="48" s="1"/>
  <c r="G78" i="46"/>
  <c r="G79" i="46" s="1"/>
  <c r="AP41" i="36"/>
  <c r="AK43" i="44"/>
  <c r="AQ41" i="46"/>
  <c r="BO26" i="43"/>
  <c r="AC32" i="43"/>
  <c r="AK66" i="43"/>
  <c r="AL66" i="43" s="1"/>
  <c r="AQ40" i="37"/>
  <c r="AP42" i="37" s="1"/>
  <c r="AP43" i="37" s="1"/>
  <c r="AO42" i="37"/>
  <c r="AO43" i="37" s="1"/>
  <c r="DF229" i="40" l="1"/>
  <c r="U29" i="46"/>
  <c r="U29" i="43"/>
  <c r="U29" i="49"/>
  <c r="U29" i="47"/>
  <c r="U29" i="50"/>
  <c r="U29" i="45"/>
  <c r="U29" i="41"/>
  <c r="AA32" i="41" s="1"/>
  <c r="U29" i="48"/>
  <c r="U29" i="44"/>
  <c r="DF230" i="40"/>
  <c r="U30" i="47"/>
  <c r="U30" i="48"/>
  <c r="U30" i="50"/>
  <c r="U30" i="46"/>
  <c r="U30" i="44"/>
  <c r="U30" i="49"/>
  <c r="U30" i="41"/>
  <c r="AA33" i="41" s="1"/>
  <c r="U30" i="45"/>
  <c r="U30" i="43"/>
  <c r="DF228" i="40"/>
  <c r="U28" i="43"/>
  <c r="U28" i="41"/>
  <c r="AA31" i="41" s="1"/>
  <c r="U28" i="48"/>
  <c r="U28" i="49"/>
  <c r="U28" i="46"/>
  <c r="U28" i="44"/>
  <c r="U28" i="45"/>
  <c r="U28" i="47"/>
  <c r="U28" i="50"/>
  <c r="BC23" i="50"/>
  <c r="BC29" i="50"/>
  <c r="BG7" i="50" s="1"/>
  <c r="BK51" i="50" s="1"/>
  <c r="V59" i="50" s="1"/>
  <c r="DE213" i="50" s="1"/>
  <c r="BC25" i="50"/>
  <c r="BG9" i="50"/>
  <c r="BK53" i="50" s="1"/>
  <c r="V61" i="50" s="1"/>
  <c r="DE215" i="50" s="1"/>
  <c r="BG19" i="50"/>
  <c r="BK63" i="50" s="1"/>
  <c r="V71" i="50" s="1"/>
  <c r="DE225" i="50" s="1"/>
  <c r="BG14" i="50"/>
  <c r="BK58" i="50" s="1"/>
  <c r="V66" i="50" s="1"/>
  <c r="DE220" i="50" s="1"/>
  <c r="AN20" i="50"/>
  <c r="AO20" i="50" s="1"/>
  <c r="AU27" i="50" s="1"/>
  <c r="AV27" i="50" s="1"/>
  <c r="AQ6" i="50"/>
  <c r="BG17" i="50"/>
  <c r="BK61" i="50" s="1"/>
  <c r="V69" i="50" s="1"/>
  <c r="DE223" i="50" s="1"/>
  <c r="BG23" i="50"/>
  <c r="BK67" i="50" s="1"/>
  <c r="BG21" i="50"/>
  <c r="BK65" i="50" s="1"/>
  <c r="V73" i="50" s="1"/>
  <c r="DE227" i="50" s="1"/>
  <c r="BG22" i="50"/>
  <c r="BK66" i="50" s="1"/>
  <c r="BG15" i="50"/>
  <c r="BK59" i="50" s="1"/>
  <c r="V67" i="50" s="1"/>
  <c r="DE221" i="50" s="1"/>
  <c r="BG12" i="50"/>
  <c r="BK56" i="50" s="1"/>
  <c r="V64" i="50" s="1"/>
  <c r="DE218" i="50" s="1"/>
  <c r="BG18" i="50"/>
  <c r="BK62" i="50" s="1"/>
  <c r="V70" i="50" s="1"/>
  <c r="DE224" i="50" s="1"/>
  <c r="BG10" i="50"/>
  <c r="BK54" i="50" s="1"/>
  <c r="V62" i="50" s="1"/>
  <c r="DE216" i="50" s="1"/>
  <c r="BG8" i="50"/>
  <c r="BK52" i="50" s="1"/>
  <c r="V60" i="50" s="1"/>
  <c r="DE214" i="50" s="1"/>
  <c r="AC29" i="43"/>
  <c r="BO22" i="43"/>
  <c r="AK63" i="43"/>
  <c r="AL63" i="43" s="1"/>
  <c r="AK62" i="43"/>
  <c r="AL62" i="43" s="1"/>
  <c r="AC27" i="43"/>
  <c r="AK43" i="43"/>
  <c r="A11" i="35"/>
  <c r="DA211" i="35" s="1"/>
  <c r="A28" i="35"/>
  <c r="DA228" i="35" s="1"/>
  <c r="BI5" i="34"/>
  <c r="BN25" i="34"/>
  <c r="BO21" i="43"/>
  <c r="BO23" i="43"/>
  <c r="BN27" i="34"/>
  <c r="AC28" i="43"/>
  <c r="AK61" i="43"/>
  <c r="AL61" i="43" s="1"/>
  <c r="BI24" i="34"/>
  <c r="AO55" i="24"/>
  <c r="AP55" i="24" s="1"/>
  <c r="AO64" i="24"/>
  <c r="AP64" i="24" s="1"/>
  <c r="AO56" i="24"/>
  <c r="AP56" i="24" s="1"/>
  <c r="AO52" i="24"/>
  <c r="AP52" i="24" s="1"/>
  <c r="AO57" i="24"/>
  <c r="AP57" i="24" s="1"/>
  <c r="AO53" i="24"/>
  <c r="AP53" i="24" s="1"/>
  <c r="AO59" i="24"/>
  <c r="AP59" i="24" s="1"/>
  <c r="AO67" i="24"/>
  <c r="AP67" i="24" s="1"/>
  <c r="AO54" i="24"/>
  <c r="AP54" i="24" s="1"/>
  <c r="AO58" i="24"/>
  <c r="AP58" i="24" s="1"/>
  <c r="AO63" i="24"/>
  <c r="AP63" i="24" s="1"/>
  <c r="AO50" i="24"/>
  <c r="AP50" i="24" s="1"/>
  <c r="AO48" i="24"/>
  <c r="AP48" i="24" s="1"/>
  <c r="AN46" i="24"/>
  <c r="AL21" i="24" s="1"/>
  <c r="AM21" i="24" s="1"/>
  <c r="AO66" i="24"/>
  <c r="AP66" i="24" s="1"/>
  <c r="AO51" i="24"/>
  <c r="AP51" i="24" s="1"/>
  <c r="AO61" i="24"/>
  <c r="AP61" i="24" s="1"/>
  <c r="AO49" i="24"/>
  <c r="AP49" i="24" s="1"/>
  <c r="AO62" i="24"/>
  <c r="AP62" i="24" s="1"/>
  <c r="AO65" i="24"/>
  <c r="AP65" i="24" s="1"/>
  <c r="AO60" i="24"/>
  <c r="AP60" i="24" s="1"/>
  <c r="AQ41" i="38"/>
  <c r="AP42" i="38"/>
  <c r="AP43" i="38" s="1"/>
  <c r="AK43" i="38" s="1"/>
  <c r="BI22" i="34"/>
  <c r="BC29" i="24"/>
  <c r="BG18" i="24" s="1"/>
  <c r="BK62" i="24" s="1"/>
  <c r="F24" i="24" s="1"/>
  <c r="G24" i="24" s="1"/>
  <c r="AN47" i="50"/>
  <c r="AO63" i="50" s="1"/>
  <c r="AP63" i="50" s="1"/>
  <c r="AN21" i="50"/>
  <c r="AR21" i="50" s="1"/>
  <c r="AR83" i="50" s="1"/>
  <c r="AK52" i="43"/>
  <c r="AL52" i="43" s="1"/>
  <c r="BO17" i="43"/>
  <c r="AQ41" i="34"/>
  <c r="AP42" i="34"/>
  <c r="AP43" i="34" s="1"/>
  <c r="AK43" i="34" s="1"/>
  <c r="BC29" i="47"/>
  <c r="BG18" i="47" s="1"/>
  <c r="BK62" i="47" s="1"/>
  <c r="P70" i="47" s="1"/>
  <c r="AC15" i="43"/>
  <c r="BC25" i="47"/>
  <c r="BC24" i="47"/>
  <c r="BC23" i="46"/>
  <c r="BC29" i="46"/>
  <c r="BO8" i="43"/>
  <c r="AC21" i="43"/>
  <c r="BC24" i="24"/>
  <c r="BC25" i="24" s="1"/>
  <c r="BG26" i="24" s="1"/>
  <c r="BI69" i="24" s="1"/>
  <c r="BK69" i="24" s="1"/>
  <c r="F31" i="24" s="1"/>
  <c r="G31" i="24" s="1"/>
  <c r="BO19" i="43"/>
  <c r="AM61" i="46"/>
  <c r="AN61" i="46" s="1"/>
  <c r="AM51" i="46"/>
  <c r="AN51" i="46" s="1"/>
  <c r="AM55" i="47"/>
  <c r="AN55" i="47" s="1"/>
  <c r="BO15" i="43"/>
  <c r="AC14" i="43"/>
  <c r="AN20" i="24"/>
  <c r="AQ6" i="24"/>
  <c r="AM54" i="47"/>
  <c r="AN54" i="47" s="1"/>
  <c r="BG20" i="24"/>
  <c r="BK64" i="24" s="1"/>
  <c r="F26" i="24" s="1"/>
  <c r="G26" i="24" s="1"/>
  <c r="AM52" i="47"/>
  <c r="AN52" i="47" s="1"/>
  <c r="AC25" i="43"/>
  <c r="BG23" i="24"/>
  <c r="BK67" i="24" s="1"/>
  <c r="AC20" i="43"/>
  <c r="AK59" i="43"/>
  <c r="AL59" i="43" s="1"/>
  <c r="BG12" i="24"/>
  <c r="BK56" i="24" s="1"/>
  <c r="F18" i="24" s="1"/>
  <c r="G18" i="24" s="1"/>
  <c r="BG24" i="24"/>
  <c r="BK68" i="24" s="1"/>
  <c r="BO16" i="43"/>
  <c r="AM52" i="46"/>
  <c r="AN52" i="46" s="1"/>
  <c r="AM48" i="47"/>
  <c r="AN48" i="47" s="1"/>
  <c r="AM67" i="47"/>
  <c r="AN67" i="47" s="1"/>
  <c r="AM61" i="47"/>
  <c r="AN61" i="47" s="1"/>
  <c r="AM57" i="46"/>
  <c r="AN57" i="46" s="1"/>
  <c r="BC25" i="44"/>
  <c r="BC24" i="44"/>
  <c r="AM65" i="49"/>
  <c r="AN65" i="49" s="1"/>
  <c r="AM66" i="47"/>
  <c r="AN66" i="47" s="1"/>
  <c r="AM63" i="47"/>
  <c r="AN63" i="47" s="1"/>
  <c r="AM51" i="47"/>
  <c r="AN51" i="47" s="1"/>
  <c r="AM57" i="47"/>
  <c r="AN57" i="47" s="1"/>
  <c r="AM65" i="46"/>
  <c r="AN65" i="46" s="1"/>
  <c r="BO10" i="43"/>
  <c r="AM65" i="47"/>
  <c r="AN65" i="47" s="1"/>
  <c r="AL46" i="47"/>
  <c r="AL20" i="47" s="1"/>
  <c r="AN20" i="47" s="1"/>
  <c r="AM60" i="46"/>
  <c r="AN60" i="46" s="1"/>
  <c r="AC18" i="43"/>
  <c r="AM50" i="47"/>
  <c r="AN50" i="47" s="1"/>
  <c r="AM64" i="47"/>
  <c r="AN64" i="47" s="1"/>
  <c r="AM56" i="47"/>
  <c r="AN56" i="47" s="1"/>
  <c r="AM55" i="46"/>
  <c r="AN55" i="46" s="1"/>
  <c r="AM53" i="47"/>
  <c r="AN53" i="47" s="1"/>
  <c r="AM62" i="47"/>
  <c r="AN62" i="47" s="1"/>
  <c r="AM60" i="47"/>
  <c r="AN60" i="47" s="1"/>
  <c r="BO12" i="43"/>
  <c r="AM49" i="47"/>
  <c r="AN49" i="47" s="1"/>
  <c r="AM64" i="46"/>
  <c r="AN64" i="46" s="1"/>
  <c r="AM59" i="47"/>
  <c r="AN59" i="47" s="1"/>
  <c r="AM67" i="46"/>
  <c r="AN67" i="46" s="1"/>
  <c r="BC25" i="46"/>
  <c r="AM62" i="45"/>
  <c r="AN62" i="45" s="1"/>
  <c r="AM60" i="45"/>
  <c r="AN60" i="45" s="1"/>
  <c r="AM53" i="45"/>
  <c r="AN53" i="45" s="1"/>
  <c r="AM53" i="49"/>
  <c r="AN53" i="49" s="1"/>
  <c r="AM51" i="45"/>
  <c r="AN51" i="45" s="1"/>
  <c r="AM49" i="49"/>
  <c r="AN49" i="49" s="1"/>
  <c r="AM61" i="45"/>
  <c r="AN61" i="45" s="1"/>
  <c r="AM56" i="49"/>
  <c r="AN56" i="49" s="1"/>
  <c r="AM48" i="45"/>
  <c r="AN48" i="45" s="1"/>
  <c r="AM58" i="45"/>
  <c r="AN58" i="45" s="1"/>
  <c r="AM57" i="45"/>
  <c r="AN57" i="45" s="1"/>
  <c r="AM54" i="45"/>
  <c r="AN54" i="45" s="1"/>
  <c r="AM50" i="45"/>
  <c r="AN50" i="45" s="1"/>
  <c r="AL46" i="45"/>
  <c r="AL20" i="45" s="1"/>
  <c r="AK60" i="43"/>
  <c r="AL60" i="43" s="1"/>
  <c r="AM52" i="49"/>
  <c r="AN52" i="49" s="1"/>
  <c r="AM67" i="45"/>
  <c r="AN67" i="45" s="1"/>
  <c r="AM59" i="45"/>
  <c r="AN59" i="45" s="1"/>
  <c r="AM64" i="45"/>
  <c r="AN64" i="45" s="1"/>
  <c r="AM49" i="45"/>
  <c r="AN49" i="45" s="1"/>
  <c r="AM65" i="45"/>
  <c r="AN65" i="45" s="1"/>
  <c r="BC23" i="44"/>
  <c r="AM63" i="45"/>
  <c r="AN63" i="45" s="1"/>
  <c r="AM55" i="45"/>
  <c r="AN55" i="45" s="1"/>
  <c r="AM52" i="45"/>
  <c r="AN52" i="45" s="1"/>
  <c r="AM66" i="45"/>
  <c r="AN66" i="45" s="1"/>
  <c r="AC22" i="43"/>
  <c r="AM53" i="46"/>
  <c r="AN53" i="46" s="1"/>
  <c r="AM58" i="46"/>
  <c r="AN58" i="46" s="1"/>
  <c r="AM49" i="46"/>
  <c r="AN49" i="46" s="1"/>
  <c r="AM63" i="46"/>
  <c r="AN63" i="46" s="1"/>
  <c r="AM56" i="46"/>
  <c r="AN56" i="46" s="1"/>
  <c r="AM54" i="46"/>
  <c r="AN54" i="46" s="1"/>
  <c r="AM58" i="49"/>
  <c r="AN58" i="49" s="1"/>
  <c r="AM59" i="49"/>
  <c r="AN59" i="49" s="1"/>
  <c r="AM63" i="49"/>
  <c r="AN63" i="49" s="1"/>
  <c r="AM55" i="49"/>
  <c r="AN55" i="49" s="1"/>
  <c r="AM62" i="49"/>
  <c r="AN62" i="49" s="1"/>
  <c r="AM50" i="46"/>
  <c r="AN50" i="46" s="1"/>
  <c r="AM66" i="49"/>
  <c r="AN66" i="49" s="1"/>
  <c r="AM64" i="49"/>
  <c r="AN64" i="49" s="1"/>
  <c r="AL46" i="49"/>
  <c r="AL20" i="49" s="1"/>
  <c r="AN20" i="49" s="1"/>
  <c r="AM67" i="49"/>
  <c r="AN67" i="49" s="1"/>
  <c r="AM61" i="49"/>
  <c r="AN61" i="49" s="1"/>
  <c r="AK48" i="43"/>
  <c r="AL48" i="43" s="1"/>
  <c r="AK56" i="43"/>
  <c r="AL56" i="43" s="1"/>
  <c r="AK55" i="43"/>
  <c r="AL55" i="43" s="1"/>
  <c r="AM66" i="46"/>
  <c r="AN66" i="46" s="1"/>
  <c r="AL46" i="46"/>
  <c r="AL20" i="46" s="1"/>
  <c r="AN20" i="46" s="1"/>
  <c r="AM48" i="46"/>
  <c r="AN48" i="46" s="1"/>
  <c r="AM62" i="46"/>
  <c r="AN62" i="46" s="1"/>
  <c r="AM50" i="49"/>
  <c r="AN50" i="49" s="1"/>
  <c r="AM51" i="49"/>
  <c r="AN51" i="49" s="1"/>
  <c r="AM60" i="49"/>
  <c r="AN60" i="49" s="1"/>
  <c r="AM54" i="49"/>
  <c r="AN54" i="49" s="1"/>
  <c r="AM48" i="49"/>
  <c r="AN48" i="49" s="1"/>
  <c r="BC24" i="45"/>
  <c r="BC25" i="45"/>
  <c r="BC23" i="45"/>
  <c r="BC29" i="45"/>
  <c r="AK49" i="43"/>
  <c r="AL49" i="43" s="1"/>
  <c r="AK54" i="43"/>
  <c r="AL54" i="43" s="1"/>
  <c r="AM48" i="48"/>
  <c r="AN48" i="48" s="1"/>
  <c r="AM63" i="48"/>
  <c r="AN63" i="48" s="1"/>
  <c r="AL46" i="48"/>
  <c r="AL20" i="48" s="1"/>
  <c r="AM66" i="48"/>
  <c r="AN66" i="48" s="1"/>
  <c r="AM62" i="48"/>
  <c r="AN62" i="48" s="1"/>
  <c r="AM67" i="48"/>
  <c r="AN67" i="48" s="1"/>
  <c r="AM64" i="48"/>
  <c r="AN64" i="48" s="1"/>
  <c r="AM54" i="48"/>
  <c r="AN54" i="48" s="1"/>
  <c r="AM57" i="48"/>
  <c r="AN57" i="48" s="1"/>
  <c r="AM60" i="48"/>
  <c r="AN60" i="48" s="1"/>
  <c r="AM65" i="48"/>
  <c r="AN65" i="48" s="1"/>
  <c r="AM50" i="48"/>
  <c r="AN50" i="48" s="1"/>
  <c r="AM58" i="48"/>
  <c r="AN58" i="48" s="1"/>
  <c r="AM52" i="48"/>
  <c r="AN52" i="48" s="1"/>
  <c r="AM61" i="48"/>
  <c r="AN61" i="48" s="1"/>
  <c r="AM55" i="48"/>
  <c r="AN55" i="48" s="1"/>
  <c r="AM56" i="48"/>
  <c r="AN56" i="48" s="1"/>
  <c r="AM53" i="48"/>
  <c r="AN53" i="48" s="1"/>
  <c r="AM49" i="48"/>
  <c r="AN49" i="48" s="1"/>
  <c r="AM51" i="48"/>
  <c r="AN51" i="48" s="1"/>
  <c r="AM59" i="48"/>
  <c r="AN59" i="48" s="1"/>
  <c r="BO9" i="43"/>
  <c r="BC25" i="48"/>
  <c r="BC29" i="48"/>
  <c r="BC24" i="48"/>
  <c r="BC23" i="48"/>
  <c r="BO14" i="43"/>
  <c r="AK43" i="41"/>
  <c r="AM59" i="39"/>
  <c r="AN59" i="39" s="1"/>
  <c r="AM66" i="39"/>
  <c r="AN66" i="39" s="1"/>
  <c r="AM52" i="39"/>
  <c r="AN52" i="39" s="1"/>
  <c r="AM67" i="39"/>
  <c r="AN67" i="39" s="1"/>
  <c r="AM60" i="39"/>
  <c r="AN60" i="39" s="1"/>
  <c r="AM63" i="39"/>
  <c r="AN63" i="39" s="1"/>
  <c r="AM49" i="39"/>
  <c r="AN49" i="39" s="1"/>
  <c r="AL46" i="39"/>
  <c r="AL20" i="39" s="1"/>
  <c r="AM50" i="39"/>
  <c r="AN50" i="39" s="1"/>
  <c r="AM53" i="39"/>
  <c r="AN53" i="39" s="1"/>
  <c r="AM61" i="39"/>
  <c r="AN61" i="39" s="1"/>
  <c r="AM64" i="39"/>
  <c r="AN64" i="39" s="1"/>
  <c r="AM55" i="39"/>
  <c r="AN55" i="39" s="1"/>
  <c r="AM56" i="39"/>
  <c r="AN56" i="39" s="1"/>
  <c r="AM48" i="39"/>
  <c r="AN48" i="39" s="1"/>
  <c r="AM51" i="39"/>
  <c r="AN51" i="39" s="1"/>
  <c r="AM62" i="39"/>
  <c r="AN62" i="39" s="1"/>
  <c r="AM54" i="39"/>
  <c r="AN54" i="39" s="1"/>
  <c r="AM58" i="39"/>
  <c r="AN58" i="39" s="1"/>
  <c r="AM65" i="39"/>
  <c r="AN65" i="39" s="1"/>
  <c r="BC25" i="49"/>
  <c r="BC24" i="49"/>
  <c r="BC23" i="49"/>
  <c r="BC29" i="49"/>
  <c r="AK51" i="43"/>
  <c r="AL51" i="43" s="1"/>
  <c r="BC24" i="39"/>
  <c r="BC23" i="39"/>
  <c r="BC29" i="39"/>
  <c r="BC25" i="39"/>
  <c r="BG26" i="39" s="1"/>
  <c r="BI69" i="39" s="1"/>
  <c r="BK69" i="39" s="1"/>
  <c r="R31" i="39" s="1"/>
  <c r="S31" i="39" s="1"/>
  <c r="AM63" i="44"/>
  <c r="AN63" i="44" s="1"/>
  <c r="AM59" i="44"/>
  <c r="AN59" i="44" s="1"/>
  <c r="AM67" i="44"/>
  <c r="AN67" i="44" s="1"/>
  <c r="AM65" i="44"/>
  <c r="AN65" i="44" s="1"/>
  <c r="AM53" i="44"/>
  <c r="AN53" i="44" s="1"/>
  <c r="AM60" i="44"/>
  <c r="AN60" i="44" s="1"/>
  <c r="AM52" i="44"/>
  <c r="AN52" i="44" s="1"/>
  <c r="AM61" i="44"/>
  <c r="AN61" i="44" s="1"/>
  <c r="AM64" i="44"/>
  <c r="AN64" i="44" s="1"/>
  <c r="AM51" i="44"/>
  <c r="AN51" i="44" s="1"/>
  <c r="AM55" i="44"/>
  <c r="AN55" i="44" s="1"/>
  <c r="AM50" i="44"/>
  <c r="AN50" i="44" s="1"/>
  <c r="AM54" i="44"/>
  <c r="AN54" i="44" s="1"/>
  <c r="AL46" i="44"/>
  <c r="AL20" i="44" s="1"/>
  <c r="AM49" i="44"/>
  <c r="AN49" i="44" s="1"/>
  <c r="AM57" i="44"/>
  <c r="AN57" i="44" s="1"/>
  <c r="AM62" i="44"/>
  <c r="AN62" i="44" s="1"/>
  <c r="AM48" i="44"/>
  <c r="AN48" i="44" s="1"/>
  <c r="AM66" i="44"/>
  <c r="AN66" i="44" s="1"/>
  <c r="AM58" i="44"/>
  <c r="AN58" i="44" s="1"/>
  <c r="AC19" i="43"/>
  <c r="AK43" i="36"/>
  <c r="AC17" i="43"/>
  <c r="AC24" i="43"/>
  <c r="AC23" i="43"/>
  <c r="AC16" i="43"/>
  <c r="AC26" i="43"/>
  <c r="AK53" i="43"/>
  <c r="AL53" i="43" s="1"/>
  <c r="AG14" i="43"/>
  <c r="AG3" i="43"/>
  <c r="BC12" i="43" s="1"/>
  <c r="AG2" i="43"/>
  <c r="AC43" i="43" s="1"/>
  <c r="BO18" i="43"/>
  <c r="AK57" i="43"/>
  <c r="AL57" i="43" s="1"/>
  <c r="BO20" i="43"/>
  <c r="AK58" i="43"/>
  <c r="AL58" i="43" s="1"/>
  <c r="BO11" i="43"/>
  <c r="AK50" i="43"/>
  <c r="AL50" i="43" s="1"/>
  <c r="BO13" i="43"/>
  <c r="AK43" i="24"/>
  <c r="AK43" i="37"/>
  <c r="AQ41" i="36"/>
  <c r="AQ41" i="41"/>
  <c r="A15" i="36"/>
  <c r="DA215" i="36" s="1"/>
  <c r="BI9" i="35"/>
  <c r="BN12" i="35"/>
  <c r="A30" i="36"/>
  <c r="DA230" i="36" s="1"/>
  <c r="BN27" i="35"/>
  <c r="BI24" i="35"/>
  <c r="A28" i="36"/>
  <c r="DA228" i="36" s="1"/>
  <c r="BN26" i="35"/>
  <c r="A29" i="36"/>
  <c r="DA229" i="36" s="1"/>
  <c r="BI23" i="35"/>
  <c r="AO82" i="50"/>
  <c r="AQ41" i="37"/>
  <c r="AK65" i="41" l="1"/>
  <c r="AL65" i="41" s="1"/>
  <c r="BO25" i="41"/>
  <c r="AC31" i="41"/>
  <c r="BO27" i="41"/>
  <c r="AK67" i="41"/>
  <c r="AL67" i="41" s="1"/>
  <c r="AC33" i="41"/>
  <c r="BO26" i="41"/>
  <c r="AC32" i="41"/>
  <c r="AK66" i="41"/>
  <c r="AL66" i="41" s="1"/>
  <c r="S31" i="46"/>
  <c r="DF231" i="39"/>
  <c r="S31" i="48"/>
  <c r="S31" i="41"/>
  <c r="S31" i="44"/>
  <c r="S31" i="43"/>
  <c r="S31" i="45"/>
  <c r="S31" i="49"/>
  <c r="S31" i="50"/>
  <c r="S31" i="47"/>
  <c r="S31" i="40"/>
  <c r="U31" i="40" s="1"/>
  <c r="R31" i="48"/>
  <c r="DE231" i="39"/>
  <c r="R31" i="46"/>
  <c r="R31" i="43"/>
  <c r="R31" i="47"/>
  <c r="R31" i="40"/>
  <c r="R31" i="44"/>
  <c r="R31" i="41"/>
  <c r="R31" i="50"/>
  <c r="R31" i="49"/>
  <c r="R31" i="45"/>
  <c r="DF231" i="24"/>
  <c r="G31" i="48"/>
  <c r="G31" i="35"/>
  <c r="G31" i="36"/>
  <c r="G31" i="40"/>
  <c r="G31" i="34"/>
  <c r="G31" i="44"/>
  <c r="G31" i="49"/>
  <c r="G31" i="50"/>
  <c r="G31" i="45"/>
  <c r="G31" i="41"/>
  <c r="G31" i="47"/>
  <c r="G31" i="43"/>
  <c r="G31" i="39"/>
  <c r="G31" i="46"/>
  <c r="G31" i="37"/>
  <c r="G31" i="38"/>
  <c r="A18" i="24"/>
  <c r="DF218" i="24"/>
  <c r="G18" i="41"/>
  <c r="G18" i="44"/>
  <c r="G18" i="37"/>
  <c r="G18" i="34"/>
  <c r="G18" i="45"/>
  <c r="G18" i="48"/>
  <c r="G18" i="40"/>
  <c r="G18" i="38"/>
  <c r="G18" i="50"/>
  <c r="G18" i="43"/>
  <c r="G18" i="47"/>
  <c r="G18" i="46"/>
  <c r="G18" i="36"/>
  <c r="G18" i="39"/>
  <c r="G18" i="35"/>
  <c r="G18" i="49"/>
  <c r="A26" i="24"/>
  <c r="DF226" i="24"/>
  <c r="G26" i="47"/>
  <c r="G26" i="39"/>
  <c r="G26" i="41"/>
  <c r="G26" i="35"/>
  <c r="G26" i="34"/>
  <c r="AA29" i="34" s="1"/>
  <c r="G26" i="48"/>
  <c r="G26" i="38"/>
  <c r="G26" i="40"/>
  <c r="G26" i="43"/>
  <c r="G26" i="45"/>
  <c r="G26" i="49"/>
  <c r="G26" i="50"/>
  <c r="G26" i="46"/>
  <c r="G26" i="44"/>
  <c r="G26" i="37"/>
  <c r="G26" i="36"/>
  <c r="A24" i="24"/>
  <c r="DF224" i="24"/>
  <c r="G24" i="47"/>
  <c r="G24" i="48"/>
  <c r="G24" i="39"/>
  <c r="G24" i="36"/>
  <c r="G24" i="50"/>
  <c r="G24" i="40"/>
  <c r="G24" i="37"/>
  <c r="G24" i="41"/>
  <c r="G24" i="35"/>
  <c r="G24" i="49"/>
  <c r="G24" i="38"/>
  <c r="G24" i="34"/>
  <c r="AA27" i="34" s="1"/>
  <c r="G24" i="46"/>
  <c r="G24" i="45"/>
  <c r="G24" i="43"/>
  <c r="G24" i="44"/>
  <c r="DE231" i="24"/>
  <c r="F31" i="49"/>
  <c r="F31" i="44"/>
  <c r="F31" i="48"/>
  <c r="F31" i="47"/>
  <c r="F31" i="46"/>
  <c r="F31" i="41"/>
  <c r="F31" i="50"/>
  <c r="F31" i="39"/>
  <c r="F31" i="45"/>
  <c r="F31" i="43"/>
  <c r="F31" i="40"/>
  <c r="F31" i="35"/>
  <c r="F31" i="36"/>
  <c r="F31" i="34"/>
  <c r="F31" i="38"/>
  <c r="F31" i="37"/>
  <c r="BG13" i="50"/>
  <c r="BK57" i="50" s="1"/>
  <c r="V65" i="50" s="1"/>
  <c r="DE219" i="50" s="1"/>
  <c r="AL21" i="47"/>
  <c r="AO61" i="50"/>
  <c r="AP61" i="50" s="1"/>
  <c r="BG5" i="47"/>
  <c r="BG22" i="47"/>
  <c r="BK66" i="47" s="1"/>
  <c r="BG6" i="50"/>
  <c r="BK50" i="50" s="1"/>
  <c r="V58" i="50" s="1"/>
  <c r="DE212" i="50" s="1"/>
  <c r="BG20" i="50"/>
  <c r="BK64" i="50" s="1"/>
  <c r="V72" i="50" s="1"/>
  <c r="DE226" i="50" s="1"/>
  <c r="BG24" i="50"/>
  <c r="BK68" i="50" s="1"/>
  <c r="BG11" i="50"/>
  <c r="BK55" i="50" s="1"/>
  <c r="V63" i="50" s="1"/>
  <c r="DE217" i="50" s="1"/>
  <c r="BG16" i="50"/>
  <c r="BK60" i="50" s="1"/>
  <c r="V68" i="50" s="1"/>
  <c r="DE222" i="50" s="1"/>
  <c r="BG5" i="50"/>
  <c r="BK49" i="50" s="1"/>
  <c r="V57" i="50" s="1"/>
  <c r="DE211" i="50" s="1"/>
  <c r="AW27" i="50"/>
  <c r="AT27" i="50" s="1"/>
  <c r="AQ20" i="50"/>
  <c r="AQ82" i="50" s="1"/>
  <c r="AR20" i="50"/>
  <c r="AR82" i="50" s="1"/>
  <c r="BN25" i="35"/>
  <c r="BI5" i="35"/>
  <c r="BI22" i="35"/>
  <c r="AO52" i="50"/>
  <c r="AP52" i="50" s="1"/>
  <c r="A11" i="36"/>
  <c r="DA211" i="36" s="1"/>
  <c r="AO59" i="50"/>
  <c r="AP59" i="50" s="1"/>
  <c r="AO66" i="50"/>
  <c r="AP66" i="50" s="1"/>
  <c r="BN8" i="35"/>
  <c r="AO64" i="50"/>
  <c r="AP64" i="50" s="1"/>
  <c r="AO65" i="50"/>
  <c r="AP65" i="50" s="1"/>
  <c r="AO49" i="50"/>
  <c r="AP49" i="50" s="1"/>
  <c r="AN46" i="50"/>
  <c r="AO56" i="50"/>
  <c r="AP56" i="50" s="1"/>
  <c r="BG14" i="24"/>
  <c r="BK58" i="24" s="1"/>
  <c r="F20" i="24" s="1"/>
  <c r="G20" i="24" s="1"/>
  <c r="BG11" i="24"/>
  <c r="BK55" i="24" s="1"/>
  <c r="F17" i="24" s="1"/>
  <c r="G17" i="24" s="1"/>
  <c r="BG16" i="24"/>
  <c r="BK60" i="24" s="1"/>
  <c r="F22" i="24" s="1"/>
  <c r="BG9" i="24"/>
  <c r="BK53" i="24" s="1"/>
  <c r="F15" i="24" s="1"/>
  <c r="BG17" i="24"/>
  <c r="BK61" i="24" s="1"/>
  <c r="F23" i="24" s="1"/>
  <c r="G23" i="24" s="1"/>
  <c r="BG5" i="24"/>
  <c r="BK49" i="24" s="1"/>
  <c r="F11" i="24" s="1"/>
  <c r="BG13" i="24"/>
  <c r="BK57" i="24" s="1"/>
  <c r="F19" i="24" s="1"/>
  <c r="F15" i="40"/>
  <c r="F15" i="41"/>
  <c r="BG8" i="47"/>
  <c r="BK52" i="47" s="1"/>
  <c r="P60" i="47" s="1"/>
  <c r="DE214" i="47" s="1"/>
  <c r="F15" i="34"/>
  <c r="F15" i="43"/>
  <c r="F15" i="39"/>
  <c r="F15" i="46"/>
  <c r="F23" i="44"/>
  <c r="BG7" i="47"/>
  <c r="BK51" i="47" s="1"/>
  <c r="P59" i="47" s="1"/>
  <c r="DE213" i="47" s="1"/>
  <c r="BG15" i="47"/>
  <c r="BK59" i="47" s="1"/>
  <c r="P67" i="47" s="1"/>
  <c r="DE221" i="47" s="1"/>
  <c r="F15" i="36"/>
  <c r="BG24" i="47"/>
  <c r="BK68" i="47" s="1"/>
  <c r="F15" i="47"/>
  <c r="F15" i="49"/>
  <c r="F15" i="37"/>
  <c r="F15" i="38"/>
  <c r="F23" i="39"/>
  <c r="BG16" i="47"/>
  <c r="BK60" i="47" s="1"/>
  <c r="P68" i="47" s="1"/>
  <c r="DE222" i="47" s="1"/>
  <c r="F17" i="35"/>
  <c r="F17" i="34"/>
  <c r="F17" i="38"/>
  <c r="F17" i="44"/>
  <c r="BG19" i="47"/>
  <c r="BK63" i="47" s="1"/>
  <c r="P71" i="47" s="1"/>
  <c r="BG21" i="47"/>
  <c r="BK65" i="47" s="1"/>
  <c r="P73" i="47" s="1"/>
  <c r="P73" i="50" s="1"/>
  <c r="BG17" i="47"/>
  <c r="BK61" i="47" s="1"/>
  <c r="P69" i="47" s="1"/>
  <c r="DE223" i="47" s="1"/>
  <c r="BG9" i="47"/>
  <c r="BK53" i="47" s="1"/>
  <c r="P61" i="47" s="1"/>
  <c r="DE215" i="47" s="1"/>
  <c r="BG14" i="47"/>
  <c r="BK58" i="47" s="1"/>
  <c r="P66" i="47" s="1"/>
  <c r="DE220" i="47" s="1"/>
  <c r="F17" i="46"/>
  <c r="F17" i="41"/>
  <c r="F17" i="37"/>
  <c r="F17" i="39"/>
  <c r="BG13" i="47"/>
  <c r="BK57" i="47" s="1"/>
  <c r="P65" i="47" s="1"/>
  <c r="DE219" i="47" s="1"/>
  <c r="BG11" i="47"/>
  <c r="BK55" i="47" s="1"/>
  <c r="P63" i="47" s="1"/>
  <c r="DE217" i="47" s="1"/>
  <c r="BG6" i="47"/>
  <c r="BK50" i="47" s="1"/>
  <c r="P58" i="47" s="1"/>
  <c r="DE212" i="47" s="1"/>
  <c r="BG10" i="47"/>
  <c r="BK54" i="47" s="1"/>
  <c r="P62" i="47" s="1"/>
  <c r="DE216" i="47" s="1"/>
  <c r="BG12" i="47"/>
  <c r="BK56" i="47" s="1"/>
  <c r="P64" i="47" s="1"/>
  <c r="DE218" i="47" s="1"/>
  <c r="BG20" i="47"/>
  <c r="BK64" i="47" s="1"/>
  <c r="P72" i="47" s="1"/>
  <c r="P72" i="50" s="1"/>
  <c r="BG23" i="47"/>
  <c r="BK67" i="47" s="1"/>
  <c r="AP47" i="24"/>
  <c r="F26" i="39"/>
  <c r="F26" i="36"/>
  <c r="F26" i="34"/>
  <c r="F26" i="47"/>
  <c r="F26" i="50"/>
  <c r="F26" i="38"/>
  <c r="F26" i="49"/>
  <c r="F26" i="41"/>
  <c r="F26" i="35"/>
  <c r="F26" i="48"/>
  <c r="F26" i="37"/>
  <c r="F26" i="45"/>
  <c r="F26" i="40"/>
  <c r="DE226" i="24"/>
  <c r="F26" i="46"/>
  <c r="F26" i="44"/>
  <c r="F26" i="43"/>
  <c r="P71" i="48"/>
  <c r="DE225" i="47"/>
  <c r="P71" i="49"/>
  <c r="P71" i="50"/>
  <c r="DE227" i="47"/>
  <c r="AO58" i="50"/>
  <c r="AP58" i="50" s="1"/>
  <c r="DE224" i="24"/>
  <c r="F24" i="43"/>
  <c r="F24" i="47"/>
  <c r="F24" i="34"/>
  <c r="F24" i="36"/>
  <c r="F24" i="40"/>
  <c r="F24" i="46"/>
  <c r="F24" i="35"/>
  <c r="F24" i="39"/>
  <c r="F24" i="48"/>
  <c r="F24" i="41"/>
  <c r="F24" i="37"/>
  <c r="F24" i="50"/>
  <c r="F24" i="44"/>
  <c r="F24" i="45"/>
  <c r="F24" i="38"/>
  <c r="F24" i="49"/>
  <c r="DE224" i="47"/>
  <c r="P70" i="50"/>
  <c r="P70" i="48"/>
  <c r="P70" i="49"/>
  <c r="AO57" i="50"/>
  <c r="AP57" i="50" s="1"/>
  <c r="AO50" i="50"/>
  <c r="AP50" i="50" s="1"/>
  <c r="AO51" i="50"/>
  <c r="AP51" i="50" s="1"/>
  <c r="AO67" i="50"/>
  <c r="AP67" i="50" s="1"/>
  <c r="BG13" i="46"/>
  <c r="BK57" i="46" s="1"/>
  <c r="N65" i="46" s="1"/>
  <c r="DE219" i="46" s="1"/>
  <c r="AO60" i="50"/>
  <c r="AP60" i="50" s="1"/>
  <c r="AO48" i="50"/>
  <c r="AP48" i="50" s="1"/>
  <c r="F23" i="49"/>
  <c r="F23" i="37"/>
  <c r="AO21" i="50"/>
  <c r="F23" i="48"/>
  <c r="F23" i="34"/>
  <c r="F23" i="43"/>
  <c r="F23" i="46"/>
  <c r="AQ21" i="50"/>
  <c r="AQ83" i="50" s="1"/>
  <c r="F23" i="38"/>
  <c r="F23" i="41"/>
  <c r="F23" i="50"/>
  <c r="F23" i="36"/>
  <c r="F23" i="40"/>
  <c r="F23" i="45"/>
  <c r="BG19" i="24"/>
  <c r="BK63" i="24" s="1"/>
  <c r="F25" i="24" s="1"/>
  <c r="G25" i="24" s="1"/>
  <c r="BG15" i="24"/>
  <c r="BK59" i="24" s="1"/>
  <c r="F21" i="24" s="1"/>
  <c r="BG6" i="24"/>
  <c r="BK50" i="24" s="1"/>
  <c r="F12" i="24" s="1"/>
  <c r="BG22" i="24"/>
  <c r="BK66" i="24" s="1"/>
  <c r="BG21" i="24"/>
  <c r="BK65" i="24" s="1"/>
  <c r="F27" i="24" s="1"/>
  <c r="G27" i="24" s="1"/>
  <c r="BG7" i="24"/>
  <c r="BK51" i="24" s="1"/>
  <c r="F13" i="24" s="1"/>
  <c r="AO62" i="50"/>
  <c r="AP62" i="50" s="1"/>
  <c r="AO54" i="50"/>
  <c r="AP54" i="50" s="1"/>
  <c r="AO55" i="50"/>
  <c r="AP55" i="50" s="1"/>
  <c r="AO53" i="50"/>
  <c r="AP53" i="50" s="1"/>
  <c r="BG10" i="24"/>
  <c r="BK54" i="24" s="1"/>
  <c r="F16" i="24" s="1"/>
  <c r="BG8" i="24"/>
  <c r="BK52" i="24" s="1"/>
  <c r="F14" i="24" s="1"/>
  <c r="BG14" i="46"/>
  <c r="BK58" i="46" s="1"/>
  <c r="N66" i="46" s="1"/>
  <c r="DE220" i="46" s="1"/>
  <c r="BG7" i="46"/>
  <c r="BK51" i="46" s="1"/>
  <c r="N59" i="46" s="1"/>
  <c r="DE213" i="46" s="1"/>
  <c r="BG16" i="46"/>
  <c r="BK60" i="46" s="1"/>
  <c r="N68" i="46" s="1"/>
  <c r="DE222" i="46" s="1"/>
  <c r="BG5" i="46"/>
  <c r="BK49" i="46" s="1"/>
  <c r="N57" i="46" s="1"/>
  <c r="DE211" i="46" s="1"/>
  <c r="F20" i="50"/>
  <c r="DE220" i="24"/>
  <c r="F18" i="38"/>
  <c r="DE218" i="24"/>
  <c r="F22" i="38"/>
  <c r="BG23" i="46"/>
  <c r="BK67" i="46" s="1"/>
  <c r="BG19" i="46"/>
  <c r="BK63" i="46" s="1"/>
  <c r="N71" i="46" s="1"/>
  <c r="BG21" i="46"/>
  <c r="BK65" i="46" s="1"/>
  <c r="N73" i="46" s="1"/>
  <c r="BG12" i="46"/>
  <c r="BK56" i="46" s="1"/>
  <c r="N64" i="46" s="1"/>
  <c r="N64" i="49" s="1"/>
  <c r="BG9" i="46"/>
  <c r="BK53" i="46" s="1"/>
  <c r="N61" i="46" s="1"/>
  <c r="DE215" i="46" s="1"/>
  <c r="BG8" i="46"/>
  <c r="BK52" i="46" s="1"/>
  <c r="N60" i="46" s="1"/>
  <c r="DE214" i="46" s="1"/>
  <c r="BG24" i="46"/>
  <c r="BK68" i="46" s="1"/>
  <c r="BG6" i="46"/>
  <c r="BK50" i="46" s="1"/>
  <c r="N58" i="46" s="1"/>
  <c r="DE212" i="46" s="1"/>
  <c r="BG22" i="46"/>
  <c r="BK66" i="46" s="1"/>
  <c r="BG20" i="46"/>
  <c r="BK64" i="46" s="1"/>
  <c r="N72" i="46" s="1"/>
  <c r="BG11" i="46"/>
  <c r="BK55" i="46" s="1"/>
  <c r="N63" i="46" s="1"/>
  <c r="DE217" i="46" s="1"/>
  <c r="BG17" i="46"/>
  <c r="BK61" i="46" s="1"/>
  <c r="N69" i="46" s="1"/>
  <c r="DE223" i="46" s="1"/>
  <c r="BG18" i="46"/>
  <c r="BK62" i="46" s="1"/>
  <c r="N70" i="46" s="1"/>
  <c r="BG10" i="46"/>
  <c r="BK54" i="46" s="1"/>
  <c r="N62" i="46" s="1"/>
  <c r="DE216" i="46" s="1"/>
  <c r="BG15" i="46"/>
  <c r="BK59" i="46" s="1"/>
  <c r="N67" i="46" s="1"/>
  <c r="DE221" i="46" s="1"/>
  <c r="F21" i="43"/>
  <c r="F18" i="35"/>
  <c r="F19" i="43"/>
  <c r="F20" i="37"/>
  <c r="F18" i="47"/>
  <c r="F20" i="46"/>
  <c r="F13" i="35"/>
  <c r="F20" i="47"/>
  <c r="F18" i="41"/>
  <c r="F18" i="45"/>
  <c r="F18" i="44"/>
  <c r="F18" i="39"/>
  <c r="F19" i="49"/>
  <c r="F20" i="35"/>
  <c r="F20" i="48"/>
  <c r="F20" i="36"/>
  <c r="F18" i="43"/>
  <c r="F18" i="46"/>
  <c r="F20" i="34"/>
  <c r="F20" i="44"/>
  <c r="F13" i="46"/>
  <c r="F18" i="40"/>
  <c r="F18" i="49"/>
  <c r="F18" i="34"/>
  <c r="F18" i="37"/>
  <c r="F13" i="34"/>
  <c r="F19" i="47"/>
  <c r="F20" i="40"/>
  <c r="F20" i="38"/>
  <c r="F20" i="41"/>
  <c r="F20" i="49"/>
  <c r="F12" i="44"/>
  <c r="F18" i="48"/>
  <c r="F18" i="50"/>
  <c r="F18" i="36"/>
  <c r="F13" i="40"/>
  <c r="F20" i="43"/>
  <c r="F20" i="39"/>
  <c r="F20" i="45"/>
  <c r="F16" i="36"/>
  <c r="F16" i="34"/>
  <c r="F14" i="39"/>
  <c r="F16" i="35"/>
  <c r="F16" i="41"/>
  <c r="F16" i="45"/>
  <c r="F16" i="50"/>
  <c r="F16" i="43"/>
  <c r="F22" i="35"/>
  <c r="F16" i="38"/>
  <c r="F16" i="47"/>
  <c r="F16" i="49"/>
  <c r="F12" i="38"/>
  <c r="F12" i="39"/>
  <c r="F12" i="34"/>
  <c r="F12" i="41"/>
  <c r="F21" i="39"/>
  <c r="F12" i="40"/>
  <c r="F12" i="48"/>
  <c r="F12" i="45"/>
  <c r="F12" i="36"/>
  <c r="F21" i="35"/>
  <c r="F12" i="37"/>
  <c r="F12" i="47"/>
  <c r="F12" i="49"/>
  <c r="F22" i="49"/>
  <c r="AR20" i="24"/>
  <c r="AR82" i="24" s="1"/>
  <c r="AQ20" i="24"/>
  <c r="AQ82" i="24" s="1"/>
  <c r="AW27" i="24"/>
  <c r="AT27" i="24" s="1"/>
  <c r="AO20" i="24"/>
  <c r="AN21" i="24"/>
  <c r="F22" i="48"/>
  <c r="F22" i="50"/>
  <c r="AN47" i="47"/>
  <c r="AN46" i="47" s="1"/>
  <c r="AL21" i="49"/>
  <c r="AM21" i="49" s="1"/>
  <c r="AQ6" i="49" s="1"/>
  <c r="AN47" i="46"/>
  <c r="AO55" i="46" s="1"/>
  <c r="AP55" i="46" s="1"/>
  <c r="AO20" i="49"/>
  <c r="AU27" i="49" s="1"/>
  <c r="AV27" i="49" s="1"/>
  <c r="AR20" i="49"/>
  <c r="AR82" i="49" s="1"/>
  <c r="AQ20" i="49"/>
  <c r="AQ82" i="49" s="1"/>
  <c r="AN20" i="45"/>
  <c r="AL21" i="45"/>
  <c r="AL21" i="46"/>
  <c r="AN21" i="46" s="1"/>
  <c r="AN47" i="49"/>
  <c r="AO66" i="49" s="1"/>
  <c r="AP66" i="49" s="1"/>
  <c r="AN47" i="45"/>
  <c r="BG10" i="44"/>
  <c r="BK54" i="44" s="1"/>
  <c r="J62" i="44" s="1"/>
  <c r="DE216" i="44" s="1"/>
  <c r="BG9" i="44"/>
  <c r="BK53" i="44" s="1"/>
  <c r="J61" i="44" s="1"/>
  <c r="DE215" i="44" s="1"/>
  <c r="BG24" i="44"/>
  <c r="BK68" i="44" s="1"/>
  <c r="BG19" i="44"/>
  <c r="BK63" i="44" s="1"/>
  <c r="J71" i="44" s="1"/>
  <c r="BG23" i="44"/>
  <c r="BK67" i="44" s="1"/>
  <c r="BG22" i="44"/>
  <c r="BK66" i="44" s="1"/>
  <c r="BG21" i="44"/>
  <c r="BK65" i="44" s="1"/>
  <c r="J73" i="44" s="1"/>
  <c r="BG20" i="44"/>
  <c r="BK64" i="44" s="1"/>
  <c r="J72" i="44" s="1"/>
  <c r="BG11" i="44"/>
  <c r="BK55" i="44" s="1"/>
  <c r="J63" i="44" s="1"/>
  <c r="DE217" i="44" s="1"/>
  <c r="BG16" i="44"/>
  <c r="BK60" i="44" s="1"/>
  <c r="J68" i="44" s="1"/>
  <c r="DE222" i="44" s="1"/>
  <c r="BG5" i="44"/>
  <c r="BG17" i="44"/>
  <c r="BK61" i="44" s="1"/>
  <c r="J69" i="44" s="1"/>
  <c r="DE223" i="44" s="1"/>
  <c r="BG7" i="44"/>
  <c r="BK51" i="44" s="1"/>
  <c r="J59" i="44" s="1"/>
  <c r="DE213" i="44" s="1"/>
  <c r="BG6" i="44"/>
  <c r="BK50" i="44" s="1"/>
  <c r="J58" i="44" s="1"/>
  <c r="DE212" i="44" s="1"/>
  <c r="BG14" i="44"/>
  <c r="BK58" i="44" s="1"/>
  <c r="J66" i="44" s="1"/>
  <c r="DE220" i="44" s="1"/>
  <c r="BG13" i="44"/>
  <c r="BK57" i="44" s="1"/>
  <c r="J65" i="44" s="1"/>
  <c r="DE219" i="44" s="1"/>
  <c r="BG8" i="44"/>
  <c r="BK52" i="44" s="1"/>
  <c r="J60" i="44" s="1"/>
  <c r="DE214" i="44" s="1"/>
  <c r="BG18" i="44"/>
  <c r="BK62" i="44" s="1"/>
  <c r="J70" i="44" s="1"/>
  <c r="BG12" i="44"/>
  <c r="BK56" i="44" s="1"/>
  <c r="J64" i="44" s="1"/>
  <c r="DE218" i="44" s="1"/>
  <c r="BG15" i="44"/>
  <c r="BK59" i="44" s="1"/>
  <c r="J67" i="44" s="1"/>
  <c r="DE221" i="44" s="1"/>
  <c r="AN47" i="48"/>
  <c r="AO55" i="48" s="1"/>
  <c r="AP55" i="48" s="1"/>
  <c r="AN20" i="39"/>
  <c r="BG12" i="48"/>
  <c r="BK56" i="48" s="1"/>
  <c r="R64" i="48" s="1"/>
  <c r="DE218" i="48" s="1"/>
  <c r="BG18" i="48"/>
  <c r="BK62" i="48" s="1"/>
  <c r="R70" i="48" s="1"/>
  <c r="BG9" i="48"/>
  <c r="BK53" i="48" s="1"/>
  <c r="R61" i="48" s="1"/>
  <c r="DE215" i="48" s="1"/>
  <c r="BG6" i="48"/>
  <c r="BK50" i="48" s="1"/>
  <c r="R58" i="48" s="1"/>
  <c r="DE212" i="48" s="1"/>
  <c r="BG24" i="48"/>
  <c r="BK68" i="48" s="1"/>
  <c r="BG5" i="48"/>
  <c r="BG15" i="48"/>
  <c r="BK59" i="48" s="1"/>
  <c r="R67" i="48" s="1"/>
  <c r="DE221" i="48" s="1"/>
  <c r="BG19" i="48"/>
  <c r="BK63" i="48" s="1"/>
  <c r="R71" i="48" s="1"/>
  <c r="BG22" i="48"/>
  <c r="BK66" i="48" s="1"/>
  <c r="BG7" i="48"/>
  <c r="BK51" i="48" s="1"/>
  <c r="R59" i="48" s="1"/>
  <c r="DE213" i="48" s="1"/>
  <c r="BG16" i="48"/>
  <c r="BK60" i="48" s="1"/>
  <c r="R68" i="48" s="1"/>
  <c r="DE222" i="48" s="1"/>
  <c r="BG23" i="48"/>
  <c r="BK67" i="48" s="1"/>
  <c r="BG8" i="48"/>
  <c r="BK52" i="48" s="1"/>
  <c r="R60" i="48" s="1"/>
  <c r="DE214" i="48" s="1"/>
  <c r="BG21" i="48"/>
  <c r="BK65" i="48" s="1"/>
  <c r="R73" i="48" s="1"/>
  <c r="BG20" i="48"/>
  <c r="BK64" i="48" s="1"/>
  <c r="R72" i="48" s="1"/>
  <c r="BG17" i="48"/>
  <c r="BK61" i="48" s="1"/>
  <c r="R69" i="48" s="1"/>
  <c r="DE223" i="48" s="1"/>
  <c r="BG14" i="48"/>
  <c r="BK58" i="48" s="1"/>
  <c r="R66" i="48" s="1"/>
  <c r="DE220" i="48" s="1"/>
  <c r="BG11" i="48"/>
  <c r="BK55" i="48" s="1"/>
  <c r="R63" i="48" s="1"/>
  <c r="DE217" i="48" s="1"/>
  <c r="BG10" i="48"/>
  <c r="BK54" i="48" s="1"/>
  <c r="R62" i="48" s="1"/>
  <c r="DE216" i="48" s="1"/>
  <c r="BG13" i="48"/>
  <c r="BK57" i="48" s="1"/>
  <c r="R65" i="48" s="1"/>
  <c r="DE219" i="48" s="1"/>
  <c r="AL21" i="48"/>
  <c r="AN20" i="48"/>
  <c r="AN47" i="39"/>
  <c r="AO53" i="39" s="1"/>
  <c r="AP53" i="39" s="1"/>
  <c r="BG16" i="45"/>
  <c r="BK60" i="45" s="1"/>
  <c r="L68" i="45" s="1"/>
  <c r="DE222" i="45" s="1"/>
  <c r="BG11" i="45"/>
  <c r="BK55" i="45" s="1"/>
  <c r="L63" i="45" s="1"/>
  <c r="DE217" i="45" s="1"/>
  <c r="BG15" i="45"/>
  <c r="BK59" i="45" s="1"/>
  <c r="L67" i="45" s="1"/>
  <c r="DE221" i="45" s="1"/>
  <c r="BG20" i="45"/>
  <c r="BK64" i="45" s="1"/>
  <c r="L72" i="45" s="1"/>
  <c r="BG22" i="45"/>
  <c r="BK66" i="45" s="1"/>
  <c r="BG18" i="45"/>
  <c r="BK62" i="45" s="1"/>
  <c r="L70" i="45" s="1"/>
  <c r="BG5" i="45"/>
  <c r="BG12" i="45"/>
  <c r="BK56" i="45" s="1"/>
  <c r="L64" i="45" s="1"/>
  <c r="DE218" i="45" s="1"/>
  <c r="BG9" i="45"/>
  <c r="BK53" i="45" s="1"/>
  <c r="L61" i="45" s="1"/>
  <c r="DE215" i="45" s="1"/>
  <c r="BG13" i="45"/>
  <c r="BK57" i="45" s="1"/>
  <c r="L65" i="45" s="1"/>
  <c r="DE219" i="45" s="1"/>
  <c r="BG8" i="45"/>
  <c r="BK52" i="45" s="1"/>
  <c r="L60" i="45" s="1"/>
  <c r="DE214" i="45" s="1"/>
  <c r="BG10" i="45"/>
  <c r="BK54" i="45" s="1"/>
  <c r="L62" i="45" s="1"/>
  <c r="DE216" i="45" s="1"/>
  <c r="BG24" i="45"/>
  <c r="BK68" i="45" s="1"/>
  <c r="BG14" i="45"/>
  <c r="BK58" i="45" s="1"/>
  <c r="L66" i="45" s="1"/>
  <c r="DE220" i="45" s="1"/>
  <c r="BG7" i="45"/>
  <c r="BK51" i="45" s="1"/>
  <c r="L59" i="45" s="1"/>
  <c r="DE213" i="45" s="1"/>
  <c r="BG21" i="45"/>
  <c r="BK65" i="45" s="1"/>
  <c r="L73" i="45" s="1"/>
  <c r="BG23" i="45"/>
  <c r="BK67" i="45" s="1"/>
  <c r="BG6" i="45"/>
  <c r="BK50" i="45" s="1"/>
  <c r="L58" i="45" s="1"/>
  <c r="DE212" i="45" s="1"/>
  <c r="BG19" i="45"/>
  <c r="BK63" i="45" s="1"/>
  <c r="L71" i="45" s="1"/>
  <c r="BG17" i="45"/>
  <c r="BK61" i="45" s="1"/>
  <c r="L69" i="45" s="1"/>
  <c r="DE223" i="45" s="1"/>
  <c r="AL47" i="43"/>
  <c r="AL46" i="43" s="1"/>
  <c r="AL20" i="43" s="1"/>
  <c r="AN47" i="44"/>
  <c r="AO55" i="44" s="1"/>
  <c r="AP55" i="44" s="1"/>
  <c r="AL21" i="44"/>
  <c r="AN20" i="44"/>
  <c r="BG21" i="39"/>
  <c r="BK65" i="39" s="1"/>
  <c r="R27" i="39" s="1"/>
  <c r="S27" i="39" s="1"/>
  <c r="BG6" i="39"/>
  <c r="BK50" i="39" s="1"/>
  <c r="R12" i="39" s="1"/>
  <c r="BG14" i="39"/>
  <c r="BK58" i="39" s="1"/>
  <c r="R20" i="39" s="1"/>
  <c r="BG18" i="39"/>
  <c r="BK62" i="39" s="1"/>
  <c r="R24" i="39" s="1"/>
  <c r="S24" i="39" s="1"/>
  <c r="BG10" i="39"/>
  <c r="BK54" i="39" s="1"/>
  <c r="R16" i="39" s="1"/>
  <c r="BG15" i="39"/>
  <c r="BK59" i="39" s="1"/>
  <c r="R21" i="39" s="1"/>
  <c r="BG17" i="39"/>
  <c r="BK61" i="39" s="1"/>
  <c r="R23" i="39" s="1"/>
  <c r="BG8" i="39"/>
  <c r="BK52" i="39" s="1"/>
  <c r="R14" i="39" s="1"/>
  <c r="BG12" i="39"/>
  <c r="BK56" i="39" s="1"/>
  <c r="R18" i="39" s="1"/>
  <c r="BG22" i="39"/>
  <c r="BK66" i="39" s="1"/>
  <c r="BG5" i="39"/>
  <c r="BG23" i="39"/>
  <c r="BK67" i="39" s="1"/>
  <c r="BG13" i="39"/>
  <c r="BK57" i="39" s="1"/>
  <c r="R19" i="39" s="1"/>
  <c r="BG9" i="39"/>
  <c r="BK53" i="39" s="1"/>
  <c r="R15" i="39" s="1"/>
  <c r="BG19" i="39"/>
  <c r="BK63" i="39" s="1"/>
  <c r="R25" i="39" s="1"/>
  <c r="S25" i="39" s="1"/>
  <c r="BG7" i="39"/>
  <c r="BK51" i="39" s="1"/>
  <c r="R13" i="39" s="1"/>
  <c r="BG11" i="39"/>
  <c r="BK55" i="39" s="1"/>
  <c r="R17" i="39" s="1"/>
  <c r="BG24" i="39"/>
  <c r="BK68" i="39" s="1"/>
  <c r="BG20" i="39"/>
  <c r="BK64" i="39" s="1"/>
  <c r="R26" i="39" s="1"/>
  <c r="S26" i="39" s="1"/>
  <c r="BG16" i="39"/>
  <c r="BK60" i="39" s="1"/>
  <c r="R22" i="39" s="1"/>
  <c r="BG7" i="49"/>
  <c r="BK51" i="49" s="1"/>
  <c r="T59" i="49" s="1"/>
  <c r="BG5" i="49"/>
  <c r="BG13" i="49"/>
  <c r="BK57" i="49" s="1"/>
  <c r="T65" i="49" s="1"/>
  <c r="BG21" i="49"/>
  <c r="BK65" i="49" s="1"/>
  <c r="T73" i="49" s="1"/>
  <c r="BG16" i="49"/>
  <c r="BK60" i="49" s="1"/>
  <c r="T68" i="49" s="1"/>
  <c r="BG14" i="49"/>
  <c r="BK58" i="49" s="1"/>
  <c r="T66" i="49" s="1"/>
  <c r="BG15" i="49"/>
  <c r="BK59" i="49" s="1"/>
  <c r="T67" i="49" s="1"/>
  <c r="BG12" i="49"/>
  <c r="BK56" i="49" s="1"/>
  <c r="T64" i="49" s="1"/>
  <c r="BG17" i="49"/>
  <c r="BK61" i="49" s="1"/>
  <c r="T69" i="49" s="1"/>
  <c r="BG10" i="49"/>
  <c r="BK54" i="49" s="1"/>
  <c r="T62" i="49" s="1"/>
  <c r="BG6" i="49"/>
  <c r="BK50" i="49" s="1"/>
  <c r="T58" i="49" s="1"/>
  <c r="BG9" i="49"/>
  <c r="BK53" i="49" s="1"/>
  <c r="T61" i="49" s="1"/>
  <c r="BG18" i="49"/>
  <c r="BK62" i="49" s="1"/>
  <c r="T70" i="49" s="1"/>
  <c r="BG23" i="49"/>
  <c r="BK67" i="49" s="1"/>
  <c r="BG19" i="49"/>
  <c r="BK63" i="49" s="1"/>
  <c r="T71" i="49" s="1"/>
  <c r="BG20" i="49"/>
  <c r="BK64" i="49" s="1"/>
  <c r="T72" i="49" s="1"/>
  <c r="BG24" i="49"/>
  <c r="BK68" i="49" s="1"/>
  <c r="BG8" i="49"/>
  <c r="BK52" i="49" s="1"/>
  <c r="T60" i="49" s="1"/>
  <c r="BG22" i="49"/>
  <c r="BK66" i="49" s="1"/>
  <c r="BG11" i="49"/>
  <c r="BK55" i="49" s="1"/>
  <c r="T63" i="49" s="1"/>
  <c r="P60" i="48"/>
  <c r="P60" i="50"/>
  <c r="P60" i="49"/>
  <c r="N65" i="50"/>
  <c r="N65" i="47"/>
  <c r="N65" i="48"/>
  <c r="N65" i="49"/>
  <c r="P66" i="48"/>
  <c r="P66" i="49"/>
  <c r="P66" i="50"/>
  <c r="N60" i="47"/>
  <c r="N59" i="50"/>
  <c r="N59" i="49"/>
  <c r="N59" i="47"/>
  <c r="N59" i="48"/>
  <c r="F11" i="45"/>
  <c r="F11" i="40"/>
  <c r="F11" i="39"/>
  <c r="F11" i="38"/>
  <c r="F11" i="35"/>
  <c r="F11" i="49"/>
  <c r="F11" i="47"/>
  <c r="F11" i="36"/>
  <c r="F11" i="41"/>
  <c r="F11" i="37"/>
  <c r="F11" i="50"/>
  <c r="F11" i="34"/>
  <c r="F11" i="48"/>
  <c r="F11" i="46"/>
  <c r="F11" i="43"/>
  <c r="F11" i="44"/>
  <c r="BC24" i="43"/>
  <c r="BC25" i="43"/>
  <c r="BC29" i="43"/>
  <c r="BC23" i="43"/>
  <c r="P58" i="48"/>
  <c r="P58" i="50"/>
  <c r="P58" i="49"/>
  <c r="P62" i="49"/>
  <c r="BK49" i="47"/>
  <c r="P57" i="47" s="1"/>
  <c r="DE211" i="47" s="1"/>
  <c r="BI5" i="36"/>
  <c r="A11" i="37"/>
  <c r="DA211" i="37" s="1"/>
  <c r="A30" i="37"/>
  <c r="DA230" i="37" s="1"/>
  <c r="BI24" i="36"/>
  <c r="BN27" i="36"/>
  <c r="A29" i="37"/>
  <c r="DA229" i="37" s="1"/>
  <c r="BN26" i="36"/>
  <c r="BI23" i="36"/>
  <c r="BI9" i="36"/>
  <c r="A15" i="37"/>
  <c r="DA215" i="37" s="1"/>
  <c r="BN12" i="36"/>
  <c r="BI22" i="36"/>
  <c r="BN25" i="36"/>
  <c r="A28" i="37"/>
  <c r="DA228" i="37" s="1"/>
  <c r="AO20" i="47"/>
  <c r="AR20" i="47"/>
  <c r="AR82" i="47" s="1"/>
  <c r="AQ20" i="47"/>
  <c r="AQ82" i="47" s="1"/>
  <c r="AO20" i="46"/>
  <c r="AR20" i="46"/>
  <c r="AR82" i="46" s="1"/>
  <c r="AQ20" i="46"/>
  <c r="AQ82" i="46" s="1"/>
  <c r="AO83" i="50"/>
  <c r="AU28" i="50"/>
  <c r="AV28" i="50" s="1"/>
  <c r="AN21" i="47"/>
  <c r="AM21" i="47"/>
  <c r="AQ6" i="47" s="1"/>
  <c r="DF231" i="40" l="1"/>
  <c r="U31" i="46"/>
  <c r="U31" i="43"/>
  <c r="U31" i="48"/>
  <c r="U31" i="45"/>
  <c r="U31" i="47"/>
  <c r="U31" i="44"/>
  <c r="U31" i="49"/>
  <c r="U31" i="41"/>
  <c r="U31" i="50"/>
  <c r="DE222" i="39"/>
  <c r="S22" i="39"/>
  <c r="S26" i="47"/>
  <c r="DF226" i="39"/>
  <c r="S26" i="44"/>
  <c r="S26" i="50"/>
  <c r="S26" i="49"/>
  <c r="S26" i="48"/>
  <c r="S26" i="45"/>
  <c r="S26" i="46"/>
  <c r="S26" i="40"/>
  <c r="S26" i="41"/>
  <c r="S26" i="43"/>
  <c r="DE217" i="39"/>
  <c r="S17" i="39"/>
  <c r="DE213" i="39"/>
  <c r="S13" i="39"/>
  <c r="DF225" i="39"/>
  <c r="S25" i="48"/>
  <c r="S25" i="43"/>
  <c r="S25" i="49"/>
  <c r="S25" i="50"/>
  <c r="S25" i="47"/>
  <c r="S25" i="45"/>
  <c r="S25" i="46"/>
  <c r="S25" i="41"/>
  <c r="S25" i="40"/>
  <c r="S25" i="44"/>
  <c r="DE215" i="39"/>
  <c r="S15" i="39"/>
  <c r="DE219" i="39"/>
  <c r="S19" i="39"/>
  <c r="DE218" i="39"/>
  <c r="S18" i="39"/>
  <c r="DE214" i="39"/>
  <c r="S14" i="39"/>
  <c r="DE223" i="39"/>
  <c r="S23" i="39"/>
  <c r="DE221" i="39"/>
  <c r="S21" i="39"/>
  <c r="DE216" i="39"/>
  <c r="S16" i="39"/>
  <c r="S24" i="50"/>
  <c r="DF224" i="39"/>
  <c r="S24" i="47"/>
  <c r="S24" i="41"/>
  <c r="S24" i="43"/>
  <c r="S24" i="44"/>
  <c r="S24" i="48"/>
  <c r="S24" i="46"/>
  <c r="S24" i="45"/>
  <c r="S24" i="40"/>
  <c r="S24" i="49"/>
  <c r="DE220" i="39"/>
  <c r="S20" i="39"/>
  <c r="DE212" i="39"/>
  <c r="S12" i="39"/>
  <c r="S27" i="40"/>
  <c r="DF227" i="39"/>
  <c r="S27" i="45"/>
  <c r="S27" i="41"/>
  <c r="S27" i="47"/>
  <c r="S27" i="43"/>
  <c r="S27" i="50"/>
  <c r="S27" i="49"/>
  <c r="S27" i="48"/>
  <c r="S27" i="44"/>
  <c r="S27" i="46"/>
  <c r="F14" i="43"/>
  <c r="G14" i="24"/>
  <c r="F16" i="37"/>
  <c r="G16" i="24"/>
  <c r="F13" i="50"/>
  <c r="G13" i="24"/>
  <c r="A27" i="24"/>
  <c r="DF227" i="24"/>
  <c r="G27" i="47"/>
  <c r="G27" i="46"/>
  <c r="G27" i="39"/>
  <c r="G27" i="38"/>
  <c r="G27" i="41"/>
  <c r="G27" i="37"/>
  <c r="G27" i="45"/>
  <c r="G27" i="40"/>
  <c r="G27" i="36"/>
  <c r="G27" i="34"/>
  <c r="AA30" i="34" s="1"/>
  <c r="G27" i="44"/>
  <c r="G27" i="35"/>
  <c r="G27" i="49"/>
  <c r="G27" i="50"/>
  <c r="G27" i="48"/>
  <c r="G27" i="43"/>
  <c r="F12" i="50"/>
  <c r="G12" i="24"/>
  <c r="F21" i="36"/>
  <c r="G21" i="24"/>
  <c r="A25" i="24"/>
  <c r="DF225" i="24"/>
  <c r="G25" i="44"/>
  <c r="G25" i="45"/>
  <c r="G25" i="39"/>
  <c r="G25" i="48"/>
  <c r="G25" i="46"/>
  <c r="G25" i="37"/>
  <c r="G25" i="38"/>
  <c r="G25" i="47"/>
  <c r="G25" i="50"/>
  <c r="G25" i="41"/>
  <c r="G25" i="35"/>
  <c r="G25" i="34"/>
  <c r="AA28" i="34" s="1"/>
  <c r="G25" i="36"/>
  <c r="G25" i="49"/>
  <c r="G25" i="40"/>
  <c r="G25" i="43"/>
  <c r="F19" i="39"/>
  <c r="G19" i="24"/>
  <c r="DE211" i="24"/>
  <c r="G11" i="24"/>
  <c r="A23" i="24"/>
  <c r="DF223" i="24"/>
  <c r="G23" i="47"/>
  <c r="G23" i="39"/>
  <c r="G23" i="35"/>
  <c r="G23" i="44"/>
  <c r="G23" i="46"/>
  <c r="G23" i="40"/>
  <c r="G23" i="48"/>
  <c r="G23" i="50"/>
  <c r="G23" i="34"/>
  <c r="AA26" i="34" s="1"/>
  <c r="G23" i="41"/>
  <c r="G23" i="43"/>
  <c r="G23" i="45"/>
  <c r="G23" i="49"/>
  <c r="G23" i="38"/>
  <c r="G23" i="36"/>
  <c r="G23" i="37"/>
  <c r="F15" i="48"/>
  <c r="G15" i="24"/>
  <c r="DE222" i="24"/>
  <c r="G22" i="24"/>
  <c r="A17" i="24"/>
  <c r="DF217" i="24"/>
  <c r="G17" i="36"/>
  <c r="G17" i="38"/>
  <c r="G17" i="50"/>
  <c r="G17" i="41"/>
  <c r="G17" i="37"/>
  <c r="G17" i="49"/>
  <c r="G17" i="47"/>
  <c r="G17" i="48"/>
  <c r="G17" i="34"/>
  <c r="G17" i="44"/>
  <c r="G17" i="35"/>
  <c r="G17" i="46"/>
  <c r="G17" i="39"/>
  <c r="G17" i="43"/>
  <c r="G17" i="45"/>
  <c r="G17" i="40"/>
  <c r="A20" i="24"/>
  <c r="DF220" i="24"/>
  <c r="G20" i="47"/>
  <c r="G20" i="38"/>
  <c r="G20" i="43"/>
  <c r="G20" i="35"/>
  <c r="G20" i="34"/>
  <c r="G20" i="45"/>
  <c r="G20" i="48"/>
  <c r="G20" i="40"/>
  <c r="G20" i="46"/>
  <c r="G20" i="44"/>
  <c r="G20" i="50"/>
  <c r="G20" i="37"/>
  <c r="G20" i="39"/>
  <c r="G20" i="41"/>
  <c r="G20" i="49"/>
  <c r="G20" i="36"/>
  <c r="AE27" i="34"/>
  <c r="AF27" i="34" s="1"/>
  <c r="AG27" i="34" s="1"/>
  <c r="AC27" i="34"/>
  <c r="AK61" i="34"/>
  <c r="AL61" i="34" s="1"/>
  <c r="BO21" i="34"/>
  <c r="DA224" i="24"/>
  <c r="BI18" i="24"/>
  <c r="BN21" i="24"/>
  <c r="AE29" i="34"/>
  <c r="AF29" i="34" s="1"/>
  <c r="AG29" i="34" s="1"/>
  <c r="AC29" i="34"/>
  <c r="AK63" i="34"/>
  <c r="AL63" i="34" s="1"/>
  <c r="BO23" i="34"/>
  <c r="DA226" i="24"/>
  <c r="BI20" i="24"/>
  <c r="BN23" i="24"/>
  <c r="AA21" i="34"/>
  <c r="BJ12" i="34"/>
  <c r="DA218" i="24"/>
  <c r="BI12" i="24"/>
  <c r="BN15" i="24"/>
  <c r="F16" i="46"/>
  <c r="P59" i="50"/>
  <c r="BG25" i="50"/>
  <c r="BG27" i="50" s="1"/>
  <c r="BK70" i="50" s="1"/>
  <c r="P68" i="48"/>
  <c r="N69" i="47"/>
  <c r="P68" i="50"/>
  <c r="AT82" i="50"/>
  <c r="N67" i="50"/>
  <c r="P63" i="48"/>
  <c r="P72" i="49"/>
  <c r="N64" i="48"/>
  <c r="P61" i="49"/>
  <c r="P67" i="48"/>
  <c r="AT83" i="50"/>
  <c r="P63" i="50"/>
  <c r="N60" i="48"/>
  <c r="P61" i="50"/>
  <c r="P72" i="48"/>
  <c r="BN8" i="36"/>
  <c r="P65" i="49"/>
  <c r="N60" i="49"/>
  <c r="P67" i="50"/>
  <c r="DE226" i="47"/>
  <c r="P63" i="49"/>
  <c r="N66" i="47"/>
  <c r="N60" i="50"/>
  <c r="P61" i="48"/>
  <c r="P67" i="49"/>
  <c r="P73" i="49"/>
  <c r="P73" i="48"/>
  <c r="P62" i="48"/>
  <c r="N62" i="49"/>
  <c r="P62" i="50"/>
  <c r="F22" i="39"/>
  <c r="F22" i="34"/>
  <c r="F22" i="36"/>
  <c r="F19" i="45"/>
  <c r="F19" i="44"/>
  <c r="F19" i="36"/>
  <c r="DE219" i="24"/>
  <c r="DE217" i="24"/>
  <c r="F17" i="50"/>
  <c r="F17" i="36"/>
  <c r="F17" i="43"/>
  <c r="F17" i="40"/>
  <c r="F17" i="48"/>
  <c r="F17" i="49"/>
  <c r="F17" i="45"/>
  <c r="F17" i="47"/>
  <c r="F22" i="41"/>
  <c r="F22" i="43"/>
  <c r="F19" i="35"/>
  <c r="F19" i="34"/>
  <c r="F19" i="41"/>
  <c r="F19" i="46"/>
  <c r="F19" i="48"/>
  <c r="DE223" i="24"/>
  <c r="F23" i="35"/>
  <c r="F23" i="47"/>
  <c r="N66" i="49"/>
  <c r="F22" i="44"/>
  <c r="F22" i="45"/>
  <c r="F22" i="40"/>
  <c r="F22" i="47"/>
  <c r="F22" i="37"/>
  <c r="F22" i="46"/>
  <c r="F19" i="38"/>
  <c r="F19" i="37"/>
  <c r="F19" i="50"/>
  <c r="F19" i="40"/>
  <c r="DE215" i="24"/>
  <c r="F15" i="50"/>
  <c r="F15" i="35"/>
  <c r="F15" i="45"/>
  <c r="F15" i="44"/>
  <c r="DE212" i="24"/>
  <c r="AO82" i="49"/>
  <c r="P59" i="49"/>
  <c r="P64" i="48"/>
  <c r="P69" i="49"/>
  <c r="F16" i="48"/>
  <c r="F12" i="35"/>
  <c r="N69" i="49"/>
  <c r="P59" i="48"/>
  <c r="P68" i="49"/>
  <c r="N68" i="49"/>
  <c r="F16" i="44"/>
  <c r="F16" i="39"/>
  <c r="F16" i="40"/>
  <c r="F12" i="43"/>
  <c r="F12" i="46"/>
  <c r="P64" i="50"/>
  <c r="N58" i="48"/>
  <c r="P69" i="48"/>
  <c r="N58" i="47"/>
  <c r="P65" i="48"/>
  <c r="P69" i="50"/>
  <c r="N67" i="49"/>
  <c r="BG25" i="47"/>
  <c r="BG27" i="47" s="1"/>
  <c r="BK70" i="47" s="1"/>
  <c r="P64" i="49"/>
  <c r="P65" i="50"/>
  <c r="F14" i="35"/>
  <c r="F14" i="46"/>
  <c r="F14" i="49"/>
  <c r="DE216" i="24"/>
  <c r="DE214" i="24"/>
  <c r="AQ63" i="24"/>
  <c r="AR63" i="24" s="1"/>
  <c r="AQ65" i="24"/>
  <c r="AR65" i="24" s="1"/>
  <c r="AQ62" i="24"/>
  <c r="AR62" i="24" s="1"/>
  <c r="AQ55" i="24"/>
  <c r="AR55" i="24" s="1"/>
  <c r="AQ50" i="24"/>
  <c r="AR50" i="24" s="1"/>
  <c r="AQ54" i="24"/>
  <c r="AR54" i="24" s="1"/>
  <c r="AQ61" i="24"/>
  <c r="AR61" i="24" s="1"/>
  <c r="AQ58" i="24"/>
  <c r="AR58" i="24" s="1"/>
  <c r="AQ59" i="24"/>
  <c r="AR59" i="24" s="1"/>
  <c r="AP46" i="24"/>
  <c r="AL22" i="24" s="1"/>
  <c r="AM22" i="24" s="1"/>
  <c r="AW28" i="24" s="1"/>
  <c r="AQ57" i="24"/>
  <c r="AR57" i="24" s="1"/>
  <c r="AQ64" i="24"/>
  <c r="AR64" i="24" s="1"/>
  <c r="AQ49" i="24"/>
  <c r="AR49" i="24" s="1"/>
  <c r="AQ48" i="24"/>
  <c r="AR48" i="24" s="1"/>
  <c r="AQ60" i="24"/>
  <c r="AR60" i="24" s="1"/>
  <c r="AQ56" i="24"/>
  <c r="AR56" i="24" s="1"/>
  <c r="AQ52" i="24"/>
  <c r="AR52" i="24" s="1"/>
  <c r="AQ51" i="24"/>
  <c r="AR51" i="24" s="1"/>
  <c r="AQ53" i="24"/>
  <c r="AR53" i="24" s="1"/>
  <c r="AQ66" i="24"/>
  <c r="AR66" i="24" s="1"/>
  <c r="AQ67" i="24"/>
  <c r="AR67" i="24" s="1"/>
  <c r="N71" i="49"/>
  <c r="N71" i="50"/>
  <c r="N71" i="48"/>
  <c r="DE225" i="46"/>
  <c r="N71" i="47"/>
  <c r="DE227" i="39"/>
  <c r="R27" i="43"/>
  <c r="R27" i="49"/>
  <c r="R27" i="44"/>
  <c r="R27" i="41"/>
  <c r="R27" i="47"/>
  <c r="R27" i="50"/>
  <c r="R27" i="45"/>
  <c r="R27" i="40"/>
  <c r="R27" i="46"/>
  <c r="R27" i="48"/>
  <c r="DE225" i="48"/>
  <c r="R71" i="50"/>
  <c r="R71" i="49"/>
  <c r="DE226" i="44"/>
  <c r="J72" i="45"/>
  <c r="J72" i="49"/>
  <c r="J72" i="48"/>
  <c r="J72" i="47"/>
  <c r="J72" i="50"/>
  <c r="J72" i="46"/>
  <c r="DE225" i="44"/>
  <c r="J71" i="45"/>
  <c r="J71" i="50"/>
  <c r="J71" i="49"/>
  <c r="J71" i="47"/>
  <c r="J71" i="46"/>
  <c r="J71" i="48"/>
  <c r="DE227" i="24"/>
  <c r="F27" i="48"/>
  <c r="F27" i="46"/>
  <c r="F27" i="40"/>
  <c r="F27" i="43"/>
  <c r="F27" i="35"/>
  <c r="F27" i="47"/>
  <c r="F27" i="44"/>
  <c r="F27" i="34"/>
  <c r="F27" i="37"/>
  <c r="F27" i="50"/>
  <c r="F27" i="39"/>
  <c r="F27" i="49"/>
  <c r="F27" i="41"/>
  <c r="F27" i="45"/>
  <c r="F27" i="38"/>
  <c r="F27" i="36"/>
  <c r="F25" i="50"/>
  <c r="F25" i="47"/>
  <c r="F25" i="41"/>
  <c r="F25" i="35"/>
  <c r="DE225" i="24"/>
  <c r="F25" i="39"/>
  <c r="F25" i="43"/>
  <c r="F25" i="34"/>
  <c r="F25" i="36"/>
  <c r="F25" i="45"/>
  <c r="F25" i="48"/>
  <c r="F25" i="40"/>
  <c r="F25" i="44"/>
  <c r="F25" i="37"/>
  <c r="F25" i="38"/>
  <c r="F25" i="49"/>
  <c r="F25" i="46"/>
  <c r="DE226" i="49"/>
  <c r="T72" i="50"/>
  <c r="T73" i="50"/>
  <c r="DE227" i="49"/>
  <c r="DE227" i="45"/>
  <c r="L73" i="46"/>
  <c r="L73" i="49"/>
  <c r="L73" i="50"/>
  <c r="L73" i="47"/>
  <c r="L73" i="48"/>
  <c r="DE226" i="45"/>
  <c r="L72" i="50"/>
  <c r="L72" i="48"/>
  <c r="L72" i="46"/>
  <c r="L72" i="47"/>
  <c r="L72" i="49"/>
  <c r="DE226" i="48"/>
  <c r="R72" i="50"/>
  <c r="R72" i="49"/>
  <c r="J73" i="49"/>
  <c r="J73" i="48"/>
  <c r="J73" i="45"/>
  <c r="J73" i="46"/>
  <c r="J73" i="50"/>
  <c r="DE227" i="44"/>
  <c r="J73" i="47"/>
  <c r="T71" i="50"/>
  <c r="DE225" i="49"/>
  <c r="DE226" i="39"/>
  <c r="R26" i="41"/>
  <c r="R26" i="40"/>
  <c r="R26" i="43"/>
  <c r="R26" i="46"/>
  <c r="R26" i="47"/>
  <c r="R26" i="45"/>
  <c r="R26" i="49"/>
  <c r="R26" i="48"/>
  <c r="R26" i="50"/>
  <c r="R26" i="44"/>
  <c r="R25" i="44"/>
  <c r="DE225" i="39"/>
  <c r="R25" i="49"/>
  <c r="R25" i="50"/>
  <c r="R25" i="41"/>
  <c r="R25" i="45"/>
  <c r="R25" i="43"/>
  <c r="R25" i="48"/>
  <c r="R25" i="40"/>
  <c r="R25" i="47"/>
  <c r="R25" i="46"/>
  <c r="L71" i="46"/>
  <c r="L71" i="50"/>
  <c r="L71" i="49"/>
  <c r="DE225" i="45"/>
  <c r="L71" i="47"/>
  <c r="L71" i="48"/>
  <c r="DE227" i="48"/>
  <c r="R73" i="49"/>
  <c r="R73" i="50"/>
  <c r="N72" i="49"/>
  <c r="N72" i="48"/>
  <c r="N72" i="47"/>
  <c r="DE226" i="46"/>
  <c r="N72" i="50"/>
  <c r="DE227" i="46"/>
  <c r="N73" i="47"/>
  <c r="N73" i="48"/>
  <c r="N73" i="50"/>
  <c r="N73" i="49"/>
  <c r="R70" i="49"/>
  <c r="R70" i="50"/>
  <c r="DE224" i="48"/>
  <c r="DE224" i="44"/>
  <c r="J70" i="45"/>
  <c r="J70" i="49"/>
  <c r="J70" i="48"/>
  <c r="J70" i="50"/>
  <c r="J70" i="47"/>
  <c r="J70" i="46"/>
  <c r="DE224" i="46"/>
  <c r="N70" i="47"/>
  <c r="N70" i="50"/>
  <c r="N70" i="48"/>
  <c r="N70" i="49"/>
  <c r="DE224" i="45"/>
  <c r="L70" i="50"/>
  <c r="L70" i="49"/>
  <c r="L70" i="48"/>
  <c r="L70" i="46"/>
  <c r="L70" i="47"/>
  <c r="T70" i="50"/>
  <c r="DE224" i="49"/>
  <c r="DE224" i="39"/>
  <c r="R24" i="46"/>
  <c r="R24" i="47"/>
  <c r="R24" i="45"/>
  <c r="R24" i="40"/>
  <c r="R24" i="49"/>
  <c r="R24" i="48"/>
  <c r="R24" i="41"/>
  <c r="R24" i="50"/>
  <c r="R24" i="43"/>
  <c r="R24" i="44"/>
  <c r="N67" i="47"/>
  <c r="N58" i="49"/>
  <c r="N66" i="50"/>
  <c r="N67" i="48"/>
  <c r="N58" i="50"/>
  <c r="N66" i="48"/>
  <c r="N69" i="50"/>
  <c r="N68" i="47"/>
  <c r="F14" i="36"/>
  <c r="F14" i="45"/>
  <c r="F14" i="44"/>
  <c r="F14" i="41"/>
  <c r="F14" i="40"/>
  <c r="N69" i="48"/>
  <c r="N68" i="48"/>
  <c r="F14" i="48"/>
  <c r="F14" i="50"/>
  <c r="F14" i="38"/>
  <c r="AP47" i="50"/>
  <c r="AP46" i="50" s="1"/>
  <c r="AL22" i="50" s="1"/>
  <c r="N68" i="50"/>
  <c r="F14" i="34"/>
  <c r="F14" i="37"/>
  <c r="F14" i="47"/>
  <c r="N61" i="50"/>
  <c r="F21" i="38"/>
  <c r="F21" i="48"/>
  <c r="F21" i="41"/>
  <c r="F13" i="36"/>
  <c r="F13" i="37"/>
  <c r="F13" i="39"/>
  <c r="F13" i="48"/>
  <c r="F13" i="49"/>
  <c r="N63" i="48"/>
  <c r="F21" i="45"/>
  <c r="F21" i="47"/>
  <c r="F21" i="37"/>
  <c r="F13" i="47"/>
  <c r="F21" i="44"/>
  <c r="F13" i="44"/>
  <c r="F13" i="41"/>
  <c r="F21" i="40"/>
  <c r="F21" i="34"/>
  <c r="DE213" i="24"/>
  <c r="DE221" i="24"/>
  <c r="F21" i="50"/>
  <c r="F21" i="49"/>
  <c r="F21" i="46"/>
  <c r="F13" i="38"/>
  <c r="BG25" i="24"/>
  <c r="BG27" i="24" s="1"/>
  <c r="BK70" i="24" s="1"/>
  <c r="F13" i="45"/>
  <c r="F13" i="43"/>
  <c r="T63" i="50"/>
  <c r="DE217" i="49"/>
  <c r="T61" i="50"/>
  <c r="DE215" i="49"/>
  <c r="N62" i="48"/>
  <c r="N63" i="49"/>
  <c r="N61" i="49"/>
  <c r="T58" i="50"/>
  <c r="DE212" i="49"/>
  <c r="T67" i="50"/>
  <c r="DE221" i="49"/>
  <c r="T65" i="50"/>
  <c r="DE219" i="49"/>
  <c r="N64" i="47"/>
  <c r="DE218" i="46"/>
  <c r="N61" i="48"/>
  <c r="T60" i="50"/>
  <c r="DE214" i="49"/>
  <c r="T62" i="50"/>
  <c r="DE216" i="49"/>
  <c r="T66" i="50"/>
  <c r="DE220" i="49"/>
  <c r="T64" i="50"/>
  <c r="DE218" i="49"/>
  <c r="N62" i="50"/>
  <c r="N63" i="50"/>
  <c r="N62" i="47"/>
  <c r="N63" i="47"/>
  <c r="N61" i="47"/>
  <c r="T69" i="50"/>
  <c r="DE223" i="49"/>
  <c r="T68" i="50"/>
  <c r="DE222" i="49"/>
  <c r="T59" i="50"/>
  <c r="DE213" i="49"/>
  <c r="N64" i="50"/>
  <c r="BG25" i="46"/>
  <c r="BG27" i="46" s="1"/>
  <c r="BK70" i="46" s="1"/>
  <c r="AM60" i="43"/>
  <c r="AN60" i="43" s="1"/>
  <c r="AM64" i="43"/>
  <c r="AN64" i="43" s="1"/>
  <c r="AO64" i="47"/>
  <c r="AP64" i="47" s="1"/>
  <c r="AO56" i="47"/>
  <c r="AP56" i="47" s="1"/>
  <c r="AO59" i="47"/>
  <c r="AP59" i="47" s="1"/>
  <c r="AO66" i="47"/>
  <c r="AP66" i="47" s="1"/>
  <c r="AO52" i="47"/>
  <c r="AP52" i="47" s="1"/>
  <c r="AO54" i="49"/>
  <c r="AP54" i="49" s="1"/>
  <c r="AM59" i="43"/>
  <c r="AN59" i="43" s="1"/>
  <c r="AO61" i="49"/>
  <c r="AP61" i="49" s="1"/>
  <c r="AT28" i="24"/>
  <c r="AO48" i="47"/>
  <c r="AP48" i="47" s="1"/>
  <c r="AO55" i="47"/>
  <c r="AP55" i="47" s="1"/>
  <c r="AO67" i="47"/>
  <c r="AP67" i="47" s="1"/>
  <c r="AO58" i="47"/>
  <c r="AP58" i="47" s="1"/>
  <c r="AO54" i="47"/>
  <c r="AP54" i="47" s="1"/>
  <c r="AO57" i="47"/>
  <c r="AP57" i="47" s="1"/>
  <c r="AR21" i="24"/>
  <c r="AR83" i="24" s="1"/>
  <c r="AO49" i="47"/>
  <c r="AP49" i="47" s="1"/>
  <c r="AO60" i="47"/>
  <c r="AP60" i="47" s="1"/>
  <c r="AO53" i="47"/>
  <c r="AP53" i="47" s="1"/>
  <c r="AO51" i="47"/>
  <c r="AP51" i="47" s="1"/>
  <c r="AO62" i="47"/>
  <c r="AP62" i="47" s="1"/>
  <c r="AW27" i="49"/>
  <c r="AT27" i="49" s="1"/>
  <c r="AO65" i="47"/>
  <c r="AP65" i="47" s="1"/>
  <c r="AO61" i="47"/>
  <c r="AP61" i="47" s="1"/>
  <c r="AO63" i="47"/>
  <c r="AP63" i="47" s="1"/>
  <c r="AO50" i="47"/>
  <c r="AP50" i="47" s="1"/>
  <c r="AU27" i="24"/>
  <c r="AV27" i="24" s="1"/>
  <c r="AO82" i="24"/>
  <c r="AT82" i="24" s="1"/>
  <c r="AO53" i="49"/>
  <c r="AP53" i="49" s="1"/>
  <c r="AO63" i="49"/>
  <c r="AP63" i="49" s="1"/>
  <c r="AO67" i="46"/>
  <c r="AP67" i="46" s="1"/>
  <c r="AO60" i="49"/>
  <c r="AP60" i="49" s="1"/>
  <c r="AO21" i="24"/>
  <c r="AQ21" i="24"/>
  <c r="AQ83" i="24" s="1"/>
  <c r="AN22" i="24"/>
  <c r="AQ22" i="24" s="1"/>
  <c r="AQ84" i="24" s="1"/>
  <c r="AM56" i="43"/>
  <c r="AN56" i="43" s="1"/>
  <c r="AM65" i="43"/>
  <c r="AN65" i="43" s="1"/>
  <c r="AM48" i="43"/>
  <c r="AN48" i="43" s="1"/>
  <c r="AO53" i="44"/>
  <c r="AP53" i="44" s="1"/>
  <c r="AM61" i="43"/>
  <c r="AN61" i="43" s="1"/>
  <c r="AO48" i="49"/>
  <c r="AP48" i="49" s="1"/>
  <c r="AO56" i="49"/>
  <c r="AP56" i="49" s="1"/>
  <c r="AO67" i="49"/>
  <c r="AP67" i="49" s="1"/>
  <c r="AO57" i="49"/>
  <c r="AP57" i="49" s="1"/>
  <c r="AN46" i="49"/>
  <c r="AO52" i="49"/>
  <c r="AP52" i="49" s="1"/>
  <c r="AO55" i="49"/>
  <c r="AP55" i="49" s="1"/>
  <c r="AO64" i="49"/>
  <c r="AP64" i="49" s="1"/>
  <c r="AO49" i="49"/>
  <c r="AP49" i="49" s="1"/>
  <c r="AO59" i="49"/>
  <c r="AP59" i="49" s="1"/>
  <c r="AO58" i="49"/>
  <c r="AP58" i="49" s="1"/>
  <c r="AO62" i="49"/>
  <c r="AP62" i="49" s="1"/>
  <c r="AO51" i="49"/>
  <c r="AP51" i="49" s="1"/>
  <c r="AO65" i="49"/>
  <c r="AP65" i="49" s="1"/>
  <c r="AO50" i="49"/>
  <c r="AP50" i="49" s="1"/>
  <c r="AN21" i="49"/>
  <c r="AO49" i="46"/>
  <c r="AP49" i="46" s="1"/>
  <c r="AO61" i="46"/>
  <c r="AP61" i="46" s="1"/>
  <c r="AO59" i="48"/>
  <c r="AP59" i="48" s="1"/>
  <c r="AO50" i="46"/>
  <c r="AP50" i="46" s="1"/>
  <c r="AO58" i="46"/>
  <c r="AP58" i="46" s="1"/>
  <c r="AO66" i="46"/>
  <c r="AP66" i="46" s="1"/>
  <c r="AO51" i="46"/>
  <c r="AP51" i="46" s="1"/>
  <c r="AO54" i="46"/>
  <c r="AP54" i="46" s="1"/>
  <c r="AO53" i="46"/>
  <c r="AP53" i="46" s="1"/>
  <c r="AO48" i="46"/>
  <c r="AP48" i="46" s="1"/>
  <c r="AN46" i="46"/>
  <c r="AO52" i="46"/>
  <c r="AP52" i="46" s="1"/>
  <c r="AM63" i="43"/>
  <c r="AN63" i="43" s="1"/>
  <c r="AO60" i="46"/>
  <c r="AP60" i="46" s="1"/>
  <c r="AO57" i="46"/>
  <c r="AP57" i="46" s="1"/>
  <c r="AO64" i="46"/>
  <c r="AP64" i="46" s="1"/>
  <c r="AO63" i="46"/>
  <c r="AP63" i="46" s="1"/>
  <c r="AO65" i="46"/>
  <c r="AP65" i="46" s="1"/>
  <c r="AO52" i="48"/>
  <c r="AP52" i="48" s="1"/>
  <c r="AO65" i="48"/>
  <c r="AP65" i="48" s="1"/>
  <c r="AT82" i="49"/>
  <c r="AO56" i="46"/>
  <c r="AP56" i="46" s="1"/>
  <c r="AO59" i="46"/>
  <c r="AP59" i="46" s="1"/>
  <c r="AO62" i="46"/>
  <c r="AP62" i="46" s="1"/>
  <c r="AO58" i="48"/>
  <c r="AP58" i="48" s="1"/>
  <c r="AL21" i="43"/>
  <c r="AM21" i="43" s="1"/>
  <c r="AQ6" i="43" s="1"/>
  <c r="AN20" i="43"/>
  <c r="AR20" i="43" s="1"/>
  <c r="AR82" i="43" s="1"/>
  <c r="J58" i="48"/>
  <c r="J58" i="46"/>
  <c r="J58" i="49"/>
  <c r="J58" i="45"/>
  <c r="J58" i="47"/>
  <c r="J58" i="50"/>
  <c r="J61" i="50"/>
  <c r="J61" i="47"/>
  <c r="J61" i="46"/>
  <c r="J61" i="49"/>
  <c r="J61" i="45"/>
  <c r="J61" i="48"/>
  <c r="AN46" i="45"/>
  <c r="AO58" i="45"/>
  <c r="AP58" i="45" s="1"/>
  <c r="AO49" i="45"/>
  <c r="AP49" i="45" s="1"/>
  <c r="AO59" i="45"/>
  <c r="AP59" i="45" s="1"/>
  <c r="AO54" i="45"/>
  <c r="AP54" i="45" s="1"/>
  <c r="AO51" i="45"/>
  <c r="AP51" i="45" s="1"/>
  <c r="AO48" i="45"/>
  <c r="AP48" i="45" s="1"/>
  <c r="AO63" i="45"/>
  <c r="AP63" i="45" s="1"/>
  <c r="AO62" i="45"/>
  <c r="AP62" i="45" s="1"/>
  <c r="AO64" i="45"/>
  <c r="AP64" i="45" s="1"/>
  <c r="AO50" i="45"/>
  <c r="AP50" i="45" s="1"/>
  <c r="AO60" i="45"/>
  <c r="AP60" i="45" s="1"/>
  <c r="AO66" i="45"/>
  <c r="AP66" i="45" s="1"/>
  <c r="AO61" i="45"/>
  <c r="AP61" i="45" s="1"/>
  <c r="AO52" i="45"/>
  <c r="AP52" i="45" s="1"/>
  <c r="AO53" i="45"/>
  <c r="AP53" i="45" s="1"/>
  <c r="AO56" i="45"/>
  <c r="AP56" i="45" s="1"/>
  <c r="AQ20" i="45"/>
  <c r="AQ82" i="45" s="1"/>
  <c r="AO20" i="45"/>
  <c r="AR20" i="45"/>
  <c r="AR82" i="45" s="1"/>
  <c r="AM21" i="46"/>
  <c r="AQ6" i="46" s="1"/>
  <c r="AM54" i="43"/>
  <c r="AN54" i="43" s="1"/>
  <c r="AM58" i="43"/>
  <c r="AN58" i="43" s="1"/>
  <c r="AM62" i="43"/>
  <c r="AN62" i="43" s="1"/>
  <c r="AM53" i="43"/>
  <c r="AN53" i="43" s="1"/>
  <c r="AO49" i="48"/>
  <c r="AP49" i="48" s="1"/>
  <c r="AO54" i="48"/>
  <c r="AP54" i="48" s="1"/>
  <c r="AO62" i="48"/>
  <c r="AP62" i="48" s="1"/>
  <c r="J60" i="50"/>
  <c r="J60" i="49"/>
  <c r="J60" i="47"/>
  <c r="J60" i="46"/>
  <c r="J60" i="48"/>
  <c r="J60" i="45"/>
  <c r="J59" i="48"/>
  <c r="J59" i="49"/>
  <c r="J59" i="47"/>
  <c r="J59" i="45"/>
  <c r="J59" i="50"/>
  <c r="J59" i="46"/>
  <c r="J63" i="46"/>
  <c r="J63" i="45"/>
  <c r="J63" i="48"/>
  <c r="J63" i="47"/>
  <c r="J63" i="49"/>
  <c r="J63" i="50"/>
  <c r="J62" i="49"/>
  <c r="J62" i="48"/>
  <c r="J62" i="47"/>
  <c r="J62" i="46"/>
  <c r="J62" i="50"/>
  <c r="J62" i="45"/>
  <c r="AO55" i="45"/>
  <c r="AP55" i="45" s="1"/>
  <c r="J68" i="49"/>
  <c r="J68" i="48"/>
  <c r="J68" i="45"/>
  <c r="J68" i="50"/>
  <c r="J68" i="47"/>
  <c r="J68" i="46"/>
  <c r="AO57" i="45"/>
  <c r="AP57" i="45" s="1"/>
  <c r="AM57" i="43"/>
  <c r="AN57" i="43" s="1"/>
  <c r="AM49" i="43"/>
  <c r="AN49" i="43" s="1"/>
  <c r="AM51" i="43"/>
  <c r="AN51" i="43" s="1"/>
  <c r="AM52" i="43"/>
  <c r="AN52" i="43" s="1"/>
  <c r="AM50" i="43"/>
  <c r="AN50" i="43" s="1"/>
  <c r="AM55" i="43"/>
  <c r="AN55" i="43" s="1"/>
  <c r="AM66" i="43"/>
  <c r="AN66" i="43" s="1"/>
  <c r="AM67" i="43"/>
  <c r="AN67" i="43" s="1"/>
  <c r="AO63" i="48"/>
  <c r="AP63" i="48" s="1"/>
  <c r="AO53" i="48"/>
  <c r="AP53" i="48" s="1"/>
  <c r="AO60" i="48"/>
  <c r="AP60" i="48" s="1"/>
  <c r="AO50" i="48"/>
  <c r="AP50" i="48" s="1"/>
  <c r="AO51" i="48"/>
  <c r="AP51" i="48" s="1"/>
  <c r="AO56" i="48"/>
  <c r="AP56" i="48" s="1"/>
  <c r="J67" i="48"/>
  <c r="J67" i="49"/>
  <c r="J67" i="47"/>
  <c r="J67" i="45"/>
  <c r="J67" i="46"/>
  <c r="J67" i="50"/>
  <c r="J65" i="47"/>
  <c r="J65" i="50"/>
  <c r="J65" i="46"/>
  <c r="J65" i="45"/>
  <c r="J65" i="49"/>
  <c r="J65" i="48"/>
  <c r="J69" i="48"/>
  <c r="J69" i="45"/>
  <c r="J69" i="47"/>
  <c r="J69" i="50"/>
  <c r="J69" i="49"/>
  <c r="J69" i="46"/>
  <c r="AO65" i="45"/>
  <c r="AP65" i="45" s="1"/>
  <c r="AO67" i="48"/>
  <c r="AP67" i="48" s="1"/>
  <c r="AO48" i="48"/>
  <c r="AP48" i="48" s="1"/>
  <c r="AO57" i="48"/>
  <c r="AP57" i="48" s="1"/>
  <c r="J64" i="47"/>
  <c r="J64" i="48"/>
  <c r="J64" i="50"/>
  <c r="J64" i="49"/>
  <c r="J64" i="45"/>
  <c r="J64" i="46"/>
  <c r="J66" i="47"/>
  <c r="J66" i="45"/>
  <c r="J66" i="50"/>
  <c r="J66" i="48"/>
  <c r="J66" i="49"/>
  <c r="J66" i="46"/>
  <c r="BG25" i="44"/>
  <c r="BG27" i="44" s="1"/>
  <c r="BK70" i="44" s="1"/>
  <c r="BK49" i="44"/>
  <c r="J57" i="44" s="1"/>
  <c r="DE211" i="44" s="1"/>
  <c r="AN21" i="45"/>
  <c r="AM21" i="45"/>
  <c r="AQ6" i="45" s="1"/>
  <c r="AO67" i="45"/>
  <c r="AP67" i="45" s="1"/>
  <c r="AN46" i="48"/>
  <c r="AO64" i="48"/>
  <c r="AP64" i="48" s="1"/>
  <c r="AO61" i="48"/>
  <c r="AP61" i="48" s="1"/>
  <c r="AO66" i="48"/>
  <c r="AP66" i="48" s="1"/>
  <c r="L67" i="47"/>
  <c r="L67" i="50"/>
  <c r="L67" i="46"/>
  <c r="L67" i="49"/>
  <c r="L67" i="48"/>
  <c r="L58" i="49"/>
  <c r="L58" i="46"/>
  <c r="L58" i="47"/>
  <c r="L58" i="50"/>
  <c r="L58" i="48"/>
  <c r="L66" i="47"/>
  <c r="L66" i="48"/>
  <c r="L66" i="46"/>
  <c r="L66" i="50"/>
  <c r="L66" i="49"/>
  <c r="L65" i="49"/>
  <c r="L65" i="50"/>
  <c r="L65" i="48"/>
  <c r="L65" i="46"/>
  <c r="L65" i="47"/>
  <c r="L63" i="47"/>
  <c r="L63" i="46"/>
  <c r="L63" i="48"/>
  <c r="L63" i="50"/>
  <c r="L63" i="49"/>
  <c r="R62" i="50"/>
  <c r="R62" i="49"/>
  <c r="R68" i="49"/>
  <c r="R68" i="50"/>
  <c r="R67" i="49"/>
  <c r="R67" i="50"/>
  <c r="R61" i="50"/>
  <c r="R61" i="49"/>
  <c r="AQ20" i="39"/>
  <c r="AQ82" i="39" s="1"/>
  <c r="L59" i="48"/>
  <c r="L59" i="46"/>
  <c r="L59" i="47"/>
  <c r="L59" i="49"/>
  <c r="L59" i="50"/>
  <c r="BG25" i="45"/>
  <c r="BG27" i="45" s="1"/>
  <c r="BK70" i="45" s="1"/>
  <c r="BK49" i="45"/>
  <c r="L57" i="45" s="1"/>
  <c r="DE211" i="45" s="1"/>
  <c r="R65" i="49"/>
  <c r="R65" i="50"/>
  <c r="AO51" i="44"/>
  <c r="AP51" i="44" s="1"/>
  <c r="L61" i="49"/>
  <c r="L61" i="47"/>
  <c r="L61" i="50"/>
  <c r="L61" i="48"/>
  <c r="L61" i="46"/>
  <c r="L68" i="46"/>
  <c r="L68" i="50"/>
  <c r="L68" i="48"/>
  <c r="L68" i="49"/>
  <c r="L68" i="47"/>
  <c r="AO51" i="39"/>
  <c r="AP51" i="39" s="1"/>
  <c r="AO52" i="39"/>
  <c r="AP52" i="39" s="1"/>
  <c r="AO64" i="39"/>
  <c r="AP64" i="39" s="1"/>
  <c r="AO60" i="39"/>
  <c r="AP60" i="39" s="1"/>
  <c r="AO55" i="39"/>
  <c r="AP55" i="39" s="1"/>
  <c r="AN46" i="39"/>
  <c r="AL21" i="39" s="1"/>
  <c r="AO61" i="39"/>
  <c r="AP61" i="39" s="1"/>
  <c r="AO48" i="39"/>
  <c r="AP48" i="39" s="1"/>
  <c r="AO57" i="39"/>
  <c r="AP57" i="39" s="1"/>
  <c r="AO49" i="39"/>
  <c r="AP49" i="39" s="1"/>
  <c r="AO59" i="39"/>
  <c r="AP59" i="39" s="1"/>
  <c r="AO58" i="39"/>
  <c r="AP58" i="39" s="1"/>
  <c r="AO65" i="39"/>
  <c r="AP65" i="39" s="1"/>
  <c r="AO67" i="39"/>
  <c r="AP67" i="39" s="1"/>
  <c r="AO63" i="39"/>
  <c r="AP63" i="39" s="1"/>
  <c r="AO66" i="39"/>
  <c r="AP66" i="39" s="1"/>
  <c r="AO62" i="39"/>
  <c r="AP62" i="39" s="1"/>
  <c r="AO50" i="39"/>
  <c r="AP50" i="39" s="1"/>
  <c r="AR20" i="48"/>
  <c r="AR82" i="48" s="1"/>
  <c r="AO20" i="48"/>
  <c r="AQ20" i="48"/>
  <c r="AQ82" i="48" s="1"/>
  <c r="R63" i="49"/>
  <c r="R63" i="50"/>
  <c r="R59" i="49"/>
  <c r="R59" i="50"/>
  <c r="BG25" i="48"/>
  <c r="BG27" i="48" s="1"/>
  <c r="BK70" i="48" s="1"/>
  <c r="BK49" i="48"/>
  <c r="R57" i="48" s="1"/>
  <c r="DE211" i="48" s="1"/>
  <c r="AO56" i="39"/>
  <c r="AP56" i="39" s="1"/>
  <c r="L60" i="49"/>
  <c r="L60" i="46"/>
  <c r="L60" i="48"/>
  <c r="L60" i="47"/>
  <c r="L60" i="50"/>
  <c r="R69" i="49"/>
  <c r="R69" i="50"/>
  <c r="R58" i="50"/>
  <c r="R58" i="49"/>
  <c r="AO50" i="44"/>
  <c r="AP50" i="44" s="1"/>
  <c r="L69" i="50"/>
  <c r="L69" i="47"/>
  <c r="L69" i="48"/>
  <c r="L69" i="46"/>
  <c r="L69" i="49"/>
  <c r="L62" i="50"/>
  <c r="L62" i="46"/>
  <c r="L62" i="47"/>
  <c r="L62" i="49"/>
  <c r="L62" i="48"/>
  <c r="L64" i="47"/>
  <c r="L64" i="49"/>
  <c r="L64" i="46"/>
  <c r="L64" i="50"/>
  <c r="L64" i="48"/>
  <c r="AN21" i="48"/>
  <c r="AM21" i="48"/>
  <c r="R66" i="50"/>
  <c r="R66" i="49"/>
  <c r="R60" i="50"/>
  <c r="R60" i="49"/>
  <c r="R64" i="49"/>
  <c r="R64" i="50"/>
  <c r="AO54" i="39"/>
  <c r="AP54" i="39" s="1"/>
  <c r="AO57" i="44"/>
  <c r="AP57" i="44" s="1"/>
  <c r="AO64" i="44"/>
  <c r="AP64" i="44" s="1"/>
  <c r="AO49" i="44"/>
  <c r="AP49" i="44" s="1"/>
  <c r="R17" i="49"/>
  <c r="R17" i="43"/>
  <c r="R17" i="45"/>
  <c r="R17" i="50"/>
  <c r="R17" i="47"/>
  <c r="R17" i="48"/>
  <c r="R17" i="44"/>
  <c r="R17" i="46"/>
  <c r="R17" i="40"/>
  <c r="R17" i="41"/>
  <c r="R19" i="44"/>
  <c r="R19" i="43"/>
  <c r="R19" i="47"/>
  <c r="R19" i="45"/>
  <c r="R19" i="41"/>
  <c r="R19" i="48"/>
  <c r="R19" i="49"/>
  <c r="R19" i="40"/>
  <c r="R19" i="46"/>
  <c r="R19" i="50"/>
  <c r="R18" i="47"/>
  <c r="R18" i="48"/>
  <c r="R18" i="44"/>
  <c r="R18" i="49"/>
  <c r="R18" i="40"/>
  <c r="R18" i="41"/>
  <c r="R18" i="43"/>
  <c r="R18" i="45"/>
  <c r="R18" i="50"/>
  <c r="R18" i="46"/>
  <c r="R16" i="48"/>
  <c r="R16" i="45"/>
  <c r="R16" i="49"/>
  <c r="R16" i="46"/>
  <c r="R16" i="50"/>
  <c r="R16" i="43"/>
  <c r="R16" i="41"/>
  <c r="R16" i="47"/>
  <c r="R16" i="40"/>
  <c r="R16" i="44"/>
  <c r="AR20" i="44"/>
  <c r="AR82" i="44" s="1"/>
  <c r="AO20" i="44"/>
  <c r="AQ20" i="44"/>
  <c r="AQ82" i="44" s="1"/>
  <c r="R15" i="49"/>
  <c r="R15" i="40"/>
  <c r="R15" i="48"/>
  <c r="R15" i="43"/>
  <c r="R15" i="44"/>
  <c r="R15" i="47"/>
  <c r="R15" i="45"/>
  <c r="R15" i="41"/>
  <c r="R15" i="50"/>
  <c r="R15" i="46"/>
  <c r="R21" i="46"/>
  <c r="R21" i="45"/>
  <c r="R21" i="48"/>
  <c r="R21" i="44"/>
  <c r="R21" i="50"/>
  <c r="R21" i="40"/>
  <c r="R21" i="47"/>
  <c r="R21" i="49"/>
  <c r="R21" i="43"/>
  <c r="R21" i="41"/>
  <c r="AO52" i="44"/>
  <c r="AP52" i="44" s="1"/>
  <c r="AN46" i="44"/>
  <c r="AO56" i="44"/>
  <c r="AP56" i="44" s="1"/>
  <c r="AO65" i="44"/>
  <c r="AP65" i="44" s="1"/>
  <c r="AO58" i="44"/>
  <c r="AP58" i="44" s="1"/>
  <c r="AO54" i="44"/>
  <c r="AP54" i="44" s="1"/>
  <c r="R22" i="49"/>
  <c r="R22" i="45"/>
  <c r="R22" i="46"/>
  <c r="R22" i="44"/>
  <c r="R22" i="41"/>
  <c r="R22" i="40"/>
  <c r="R22" i="50"/>
  <c r="R22" i="43"/>
  <c r="R22" i="47"/>
  <c r="R22" i="48"/>
  <c r="R13" i="40"/>
  <c r="R13" i="46"/>
  <c r="R13" i="45"/>
  <c r="R13" i="49"/>
  <c r="R13" i="50"/>
  <c r="R13" i="48"/>
  <c r="R13" i="47"/>
  <c r="R13" i="41"/>
  <c r="R13" i="44"/>
  <c r="R13" i="43"/>
  <c r="R14" i="41"/>
  <c r="R14" i="43"/>
  <c r="R14" i="49"/>
  <c r="R14" i="47"/>
  <c r="R14" i="50"/>
  <c r="R14" i="45"/>
  <c r="R14" i="48"/>
  <c r="R14" i="44"/>
  <c r="R14" i="46"/>
  <c r="R14" i="40"/>
  <c r="AO59" i="44"/>
  <c r="AP59" i="44" s="1"/>
  <c r="AM21" i="44"/>
  <c r="AQ6" i="44" s="1"/>
  <c r="AN21" i="44"/>
  <c r="AO66" i="44"/>
  <c r="AP66" i="44" s="1"/>
  <c r="BG25" i="49"/>
  <c r="BG27" i="49" s="1"/>
  <c r="BK70" i="49" s="1"/>
  <c r="BK49" i="49"/>
  <c r="T57" i="49" s="1"/>
  <c r="R12" i="48"/>
  <c r="R12" i="43"/>
  <c r="R12" i="45"/>
  <c r="R12" i="49"/>
  <c r="R12" i="50"/>
  <c r="R12" i="44"/>
  <c r="R12" i="41"/>
  <c r="R12" i="47"/>
  <c r="R12" i="40"/>
  <c r="R12" i="46"/>
  <c r="AO67" i="44"/>
  <c r="AP67" i="44" s="1"/>
  <c r="AO61" i="44"/>
  <c r="AP61" i="44" s="1"/>
  <c r="AO63" i="44"/>
  <c r="AP63" i="44" s="1"/>
  <c r="AO62" i="44"/>
  <c r="AP62" i="44" s="1"/>
  <c r="BG25" i="39"/>
  <c r="BG27" i="39" s="1"/>
  <c r="BK70" i="39" s="1"/>
  <c r="BK49" i="39"/>
  <c r="R11" i="39" s="1"/>
  <c r="R23" i="43"/>
  <c r="R23" i="45"/>
  <c r="R23" i="41"/>
  <c r="R23" i="40"/>
  <c r="R23" i="44"/>
  <c r="R23" i="47"/>
  <c r="R23" i="50"/>
  <c r="R23" i="46"/>
  <c r="R23" i="49"/>
  <c r="R23" i="48"/>
  <c r="R20" i="41"/>
  <c r="R20" i="40"/>
  <c r="R20" i="45"/>
  <c r="R20" i="44"/>
  <c r="R20" i="46"/>
  <c r="R20" i="50"/>
  <c r="R20" i="43"/>
  <c r="R20" i="48"/>
  <c r="R20" i="47"/>
  <c r="R20" i="49"/>
  <c r="AO60" i="44"/>
  <c r="AP60" i="44" s="1"/>
  <c r="AO48" i="44"/>
  <c r="AP48" i="44" s="1"/>
  <c r="N57" i="47"/>
  <c r="N57" i="48"/>
  <c r="N57" i="49"/>
  <c r="N57" i="50"/>
  <c r="P57" i="48"/>
  <c r="P57" i="50"/>
  <c r="P57" i="49"/>
  <c r="BG18" i="43"/>
  <c r="BK62" i="43" s="1"/>
  <c r="H70" i="43" s="1"/>
  <c r="BG15" i="43"/>
  <c r="BK59" i="43" s="1"/>
  <c r="H67" i="43" s="1"/>
  <c r="DE221" i="43" s="1"/>
  <c r="BG5" i="43"/>
  <c r="BG10" i="43"/>
  <c r="BK54" i="43" s="1"/>
  <c r="H62" i="43" s="1"/>
  <c r="DE216" i="43" s="1"/>
  <c r="BG23" i="43"/>
  <c r="BK67" i="43" s="1"/>
  <c r="BG9" i="43"/>
  <c r="BK53" i="43" s="1"/>
  <c r="H61" i="43" s="1"/>
  <c r="DE215" i="43" s="1"/>
  <c r="BG12" i="43"/>
  <c r="BK56" i="43" s="1"/>
  <c r="H64" i="43" s="1"/>
  <c r="DE218" i="43" s="1"/>
  <c r="BG24" i="43"/>
  <c r="BK68" i="43" s="1"/>
  <c r="BG19" i="43"/>
  <c r="BK63" i="43" s="1"/>
  <c r="H71" i="43" s="1"/>
  <c r="BG20" i="43"/>
  <c r="BK64" i="43" s="1"/>
  <c r="H72" i="43" s="1"/>
  <c r="BG11" i="43"/>
  <c r="BK55" i="43" s="1"/>
  <c r="H63" i="43" s="1"/>
  <c r="DE217" i="43" s="1"/>
  <c r="BG17" i="43"/>
  <c r="BK61" i="43" s="1"/>
  <c r="H69" i="43" s="1"/>
  <c r="DE223" i="43" s="1"/>
  <c r="BG6" i="43"/>
  <c r="BK50" i="43" s="1"/>
  <c r="H58" i="43" s="1"/>
  <c r="DE212" i="43" s="1"/>
  <c r="BG13" i="43"/>
  <c r="BK57" i="43" s="1"/>
  <c r="H65" i="43" s="1"/>
  <c r="DE219" i="43" s="1"/>
  <c r="BG22" i="43"/>
  <c r="BK66" i="43" s="1"/>
  <c r="BG21" i="43"/>
  <c r="BK65" i="43" s="1"/>
  <c r="H73" i="43" s="1"/>
  <c r="BG8" i="43"/>
  <c r="BK52" i="43" s="1"/>
  <c r="H60" i="43" s="1"/>
  <c r="DE214" i="43" s="1"/>
  <c r="BG14" i="43"/>
  <c r="BK58" i="43" s="1"/>
  <c r="H66" i="43" s="1"/>
  <c r="DE220" i="43" s="1"/>
  <c r="BG7" i="43"/>
  <c r="BK51" i="43" s="1"/>
  <c r="H59" i="43" s="1"/>
  <c r="DE213" i="43" s="1"/>
  <c r="BG16" i="43"/>
  <c r="BK60" i="43" s="1"/>
  <c r="H68" i="43" s="1"/>
  <c r="DE222" i="43" s="1"/>
  <c r="A15" i="38"/>
  <c r="DA215" i="38" s="1"/>
  <c r="BN12" i="37"/>
  <c r="BI9" i="37"/>
  <c r="BN27" i="37"/>
  <c r="BI24" i="37"/>
  <c r="A30" i="38"/>
  <c r="DA230" i="38" s="1"/>
  <c r="A28" i="38"/>
  <c r="DA228" i="38" s="1"/>
  <c r="BN25" i="37"/>
  <c r="BI22" i="37"/>
  <c r="BN26" i="37"/>
  <c r="A29" i="38"/>
  <c r="DA229" i="38" s="1"/>
  <c r="BI23" i="37"/>
  <c r="BN8" i="37"/>
  <c r="A11" i="38"/>
  <c r="DA211" i="38" s="1"/>
  <c r="BI5" i="37"/>
  <c r="AW27" i="47"/>
  <c r="AT27" i="47" s="1"/>
  <c r="AO82" i="47"/>
  <c r="AT82" i="47" s="1"/>
  <c r="AU27" i="47"/>
  <c r="AV27" i="47" s="1"/>
  <c r="AR21" i="47"/>
  <c r="AR83" i="47" s="1"/>
  <c r="AQ21" i="47"/>
  <c r="AQ83" i="47" s="1"/>
  <c r="AO21" i="47"/>
  <c r="AU27" i="46"/>
  <c r="AV27" i="46" s="1"/>
  <c r="AO82" i="46"/>
  <c r="AT82" i="46" s="1"/>
  <c r="AQ21" i="46"/>
  <c r="AQ83" i="46" s="1"/>
  <c r="AO21" i="46"/>
  <c r="AR21" i="46"/>
  <c r="AR83" i="46" s="1"/>
  <c r="AA30" i="40" l="1"/>
  <c r="AA27" i="40"/>
  <c r="AA28" i="40"/>
  <c r="AA29" i="40"/>
  <c r="DE211" i="39"/>
  <c r="S11" i="39"/>
  <c r="AK64" i="40"/>
  <c r="AL64" i="40" s="1"/>
  <c r="AC30" i="40"/>
  <c r="BO24" i="40"/>
  <c r="S12" i="49"/>
  <c r="S12" i="47"/>
  <c r="DF212" i="39"/>
  <c r="S12" i="45"/>
  <c r="S12" i="43"/>
  <c r="S12" i="50"/>
  <c r="S12" i="44"/>
  <c r="S12" i="40"/>
  <c r="S12" i="48"/>
  <c r="S12" i="46"/>
  <c r="S12" i="41"/>
  <c r="S20" i="47"/>
  <c r="S20" i="49"/>
  <c r="S20" i="46"/>
  <c r="DF220" i="39"/>
  <c r="S20" i="50"/>
  <c r="S20" i="43"/>
  <c r="S20" i="45"/>
  <c r="S20" i="48"/>
  <c r="S20" i="44"/>
  <c r="S20" i="40"/>
  <c r="S20" i="41"/>
  <c r="AK61" i="40"/>
  <c r="AL61" i="40" s="1"/>
  <c r="AC27" i="40"/>
  <c r="BO21" i="40"/>
  <c r="DF216" i="39"/>
  <c r="S16" i="50"/>
  <c r="S16" i="44"/>
  <c r="S16" i="48"/>
  <c r="S16" i="49"/>
  <c r="S16" i="45"/>
  <c r="S16" i="47"/>
  <c r="S16" i="46"/>
  <c r="S16" i="40"/>
  <c r="S16" i="43"/>
  <c r="S16" i="41"/>
  <c r="DF221" i="39"/>
  <c r="S21" i="48"/>
  <c r="S21" i="47"/>
  <c r="S21" i="44"/>
  <c r="S21" i="49"/>
  <c r="S21" i="50"/>
  <c r="S21" i="46"/>
  <c r="S21" i="41"/>
  <c r="S21" i="45"/>
  <c r="S21" i="40"/>
  <c r="S21" i="43"/>
  <c r="S23" i="49"/>
  <c r="DF223" i="39"/>
  <c r="S23" i="43"/>
  <c r="S23" i="47"/>
  <c r="S23" i="45"/>
  <c r="S23" i="44"/>
  <c r="S23" i="50"/>
  <c r="S23" i="41"/>
  <c r="S23" i="48"/>
  <c r="S23" i="46"/>
  <c r="S23" i="40"/>
  <c r="DF214" i="39"/>
  <c r="S14" i="46"/>
  <c r="S14" i="50"/>
  <c r="S14" i="45"/>
  <c r="S14" i="43"/>
  <c r="S14" i="48"/>
  <c r="S14" i="40"/>
  <c r="S14" i="49"/>
  <c r="S14" i="44"/>
  <c r="S14" i="41"/>
  <c r="S14" i="47"/>
  <c r="DF218" i="39"/>
  <c r="S18" i="46"/>
  <c r="S18" i="43"/>
  <c r="S18" i="41"/>
  <c r="S18" i="44"/>
  <c r="S18" i="40"/>
  <c r="S18" i="48"/>
  <c r="S18" i="45"/>
  <c r="S18" i="49"/>
  <c r="S18" i="50"/>
  <c r="S18" i="47"/>
  <c r="DF219" i="39"/>
  <c r="S19" i="49"/>
  <c r="S19" i="41"/>
  <c r="S19" i="40"/>
  <c r="S19" i="47"/>
  <c r="S19" i="43"/>
  <c r="S19" i="50"/>
  <c r="S19" i="48"/>
  <c r="S19" i="45"/>
  <c r="S19" i="46"/>
  <c r="S19" i="44"/>
  <c r="DF215" i="39"/>
  <c r="S15" i="40"/>
  <c r="S15" i="48"/>
  <c r="S15" i="41"/>
  <c r="S15" i="50"/>
  <c r="S15" i="43"/>
  <c r="S15" i="44"/>
  <c r="S15" i="49"/>
  <c r="S15" i="46"/>
  <c r="S15" i="47"/>
  <c r="S15" i="45"/>
  <c r="AE28" i="40"/>
  <c r="AF28" i="40" s="1"/>
  <c r="AG28" i="40" s="1"/>
  <c r="AC28" i="40"/>
  <c r="AK62" i="40"/>
  <c r="AL62" i="40" s="1"/>
  <c r="BO22" i="40"/>
  <c r="DF213" i="39"/>
  <c r="S13" i="40"/>
  <c r="S13" i="46"/>
  <c r="S13" i="41"/>
  <c r="S13" i="45"/>
  <c r="S13" i="50"/>
  <c r="S13" i="43"/>
  <c r="S13" i="48"/>
  <c r="S13" i="47"/>
  <c r="S13" i="49"/>
  <c r="S13" i="44"/>
  <c r="S17" i="44"/>
  <c r="S17" i="50"/>
  <c r="DF217" i="39"/>
  <c r="S17" i="49"/>
  <c r="S17" i="48"/>
  <c r="S17" i="46"/>
  <c r="S17" i="43"/>
  <c r="S17" i="47"/>
  <c r="S17" i="45"/>
  <c r="S17" i="40"/>
  <c r="S17" i="41"/>
  <c r="AE29" i="40"/>
  <c r="AF29" i="40" s="1"/>
  <c r="AG29" i="40" s="1"/>
  <c r="AK63" i="40"/>
  <c r="AL63" i="40" s="1"/>
  <c r="BO23" i="40"/>
  <c r="AC29" i="40"/>
  <c r="DF222" i="39"/>
  <c r="S22" i="40"/>
  <c r="S22" i="48"/>
  <c r="S22" i="45"/>
  <c r="S22" i="47"/>
  <c r="S22" i="44"/>
  <c r="S22" i="41"/>
  <c r="S22" i="43"/>
  <c r="S22" i="46"/>
  <c r="S22" i="49"/>
  <c r="S22" i="50"/>
  <c r="AO20" i="39"/>
  <c r="AM21" i="39"/>
  <c r="AR20" i="39" s="1"/>
  <c r="AR82" i="39" s="1"/>
  <c r="AN21" i="39"/>
  <c r="AE21" i="34"/>
  <c r="AF21" i="34" s="1"/>
  <c r="AG21" i="34" s="1"/>
  <c r="BO15" i="34"/>
  <c r="AC21" i="34"/>
  <c r="AK55" i="34"/>
  <c r="AL55" i="34" s="1"/>
  <c r="AA23" i="34"/>
  <c r="BJ14" i="34"/>
  <c r="DA220" i="24"/>
  <c r="BN17" i="24"/>
  <c r="BI14" i="24"/>
  <c r="AA20" i="34"/>
  <c r="BJ11" i="34"/>
  <c r="DA217" i="24"/>
  <c r="BN14" i="24"/>
  <c r="BI11" i="24"/>
  <c r="A22" i="24"/>
  <c r="DF222" i="24"/>
  <c r="G22" i="41"/>
  <c r="G22" i="39"/>
  <c r="G22" i="40"/>
  <c r="G22" i="44"/>
  <c r="G22" i="48"/>
  <c r="G22" i="35"/>
  <c r="G22" i="46"/>
  <c r="G22" i="50"/>
  <c r="G22" i="37"/>
  <c r="G22" i="34"/>
  <c r="AA25" i="34" s="1"/>
  <c r="G22" i="49"/>
  <c r="G22" i="43"/>
  <c r="G22" i="47"/>
  <c r="G22" i="38"/>
  <c r="G22" i="45"/>
  <c r="G22" i="36"/>
  <c r="DF215" i="24"/>
  <c r="G15" i="49"/>
  <c r="G15" i="39"/>
  <c r="G15" i="36"/>
  <c r="G15" i="46"/>
  <c r="G15" i="37"/>
  <c r="G15" i="47"/>
  <c r="G15" i="38"/>
  <c r="G15" i="43"/>
  <c r="G15" i="48"/>
  <c r="G15" i="41"/>
  <c r="G15" i="40"/>
  <c r="G15" i="44"/>
  <c r="G15" i="35"/>
  <c r="G15" i="50"/>
  <c r="G15" i="34"/>
  <c r="G15" i="45"/>
  <c r="AE26" i="34"/>
  <c r="AF26" i="34" s="1"/>
  <c r="AG26" i="34" s="1"/>
  <c r="AC26" i="34"/>
  <c r="BO20" i="34"/>
  <c r="AK60" i="34"/>
  <c r="AL60" i="34" s="1"/>
  <c r="DA223" i="24"/>
  <c r="BI17" i="24"/>
  <c r="BN20" i="24"/>
  <c r="DF211" i="24"/>
  <c r="G11" i="34"/>
  <c r="G11" i="44"/>
  <c r="G11" i="35"/>
  <c r="G11" i="50"/>
  <c r="G11" i="49"/>
  <c r="G11" i="36"/>
  <c r="G11" i="39"/>
  <c r="G11" i="45"/>
  <c r="G11" i="46"/>
  <c r="G11" i="41"/>
  <c r="G32" i="24"/>
  <c r="G11" i="43"/>
  <c r="G11" i="40"/>
  <c r="G11" i="38"/>
  <c r="G11" i="48"/>
  <c r="G11" i="37"/>
  <c r="G11" i="47"/>
  <c r="A19" i="24"/>
  <c r="DF219" i="24"/>
  <c r="G19" i="49"/>
  <c r="G19" i="40"/>
  <c r="G19" i="47"/>
  <c r="G19" i="35"/>
  <c r="G19" i="48"/>
  <c r="G19" i="36"/>
  <c r="G19" i="38"/>
  <c r="G19" i="41"/>
  <c r="G19" i="46"/>
  <c r="G19" i="44"/>
  <c r="G19" i="45"/>
  <c r="G19" i="34"/>
  <c r="G19" i="43"/>
  <c r="G19" i="50"/>
  <c r="G19" i="39"/>
  <c r="G19" i="37"/>
  <c r="AE28" i="34"/>
  <c r="AF28" i="34" s="1"/>
  <c r="AG28" i="34" s="1"/>
  <c r="BO22" i="34"/>
  <c r="AK62" i="34"/>
  <c r="AL62" i="34" s="1"/>
  <c r="AC28" i="34"/>
  <c r="DA225" i="24"/>
  <c r="BI19" i="24"/>
  <c r="BN22" i="24"/>
  <c r="A21" i="24"/>
  <c r="DF221" i="24"/>
  <c r="G21" i="36"/>
  <c r="G21" i="40"/>
  <c r="G21" i="49"/>
  <c r="G21" i="37"/>
  <c r="G21" i="48"/>
  <c r="G21" i="43"/>
  <c r="G21" i="44"/>
  <c r="G21" i="39"/>
  <c r="G21" i="45"/>
  <c r="G21" i="35"/>
  <c r="G21" i="46"/>
  <c r="G21" i="34"/>
  <c r="AA24" i="34" s="1"/>
  <c r="G21" i="41"/>
  <c r="G21" i="38"/>
  <c r="G21" i="47"/>
  <c r="G21" i="50"/>
  <c r="A12" i="24"/>
  <c r="DF212" i="24"/>
  <c r="G12" i="47"/>
  <c r="G12" i="39"/>
  <c r="G12" i="37"/>
  <c r="G12" i="49"/>
  <c r="G12" i="34"/>
  <c r="G12" i="48"/>
  <c r="G12" i="36"/>
  <c r="G12" i="46"/>
  <c r="G12" i="38"/>
  <c r="G12" i="45"/>
  <c r="G12" i="44"/>
  <c r="G12" i="35"/>
  <c r="G12" i="50"/>
  <c r="G12" i="41"/>
  <c r="G12" i="43"/>
  <c r="G12" i="40"/>
  <c r="AE30" i="34"/>
  <c r="AF30" i="34" s="1"/>
  <c r="AG30" i="34" s="1"/>
  <c r="AC30" i="34"/>
  <c r="BO24" i="34"/>
  <c r="AK64" i="34"/>
  <c r="AL64" i="34" s="1"/>
  <c r="DA227" i="24"/>
  <c r="BN24" i="24"/>
  <c r="BI21" i="24"/>
  <c r="A13" i="24"/>
  <c r="DF213" i="24"/>
  <c r="G13" i="50"/>
  <c r="G13" i="48"/>
  <c r="G13" i="35"/>
  <c r="G13" i="46"/>
  <c r="G13" i="34"/>
  <c r="G13" i="45"/>
  <c r="G13" i="44"/>
  <c r="G13" i="38"/>
  <c r="G13" i="49"/>
  <c r="G13" i="43"/>
  <c r="G13" i="40"/>
  <c r="G13" i="39"/>
  <c r="G13" i="47"/>
  <c r="G13" i="41"/>
  <c r="G13" i="37"/>
  <c r="G13" i="36"/>
  <c r="A16" i="24"/>
  <c r="DF216" i="24"/>
  <c r="G16" i="34"/>
  <c r="G16" i="47"/>
  <c r="G16" i="38"/>
  <c r="G16" i="40"/>
  <c r="G16" i="39"/>
  <c r="G16" i="48"/>
  <c r="G16" i="49"/>
  <c r="G16" i="35"/>
  <c r="G16" i="46"/>
  <c r="G16" i="45"/>
  <c r="G16" i="44"/>
  <c r="G16" i="37"/>
  <c r="G16" i="50"/>
  <c r="G16" i="41"/>
  <c r="G16" i="43"/>
  <c r="G16" i="36"/>
  <c r="A14" i="24"/>
  <c r="DF214" i="24"/>
  <c r="G14" i="39"/>
  <c r="G14" i="34"/>
  <c r="G14" i="48"/>
  <c r="G14" i="46"/>
  <c r="G14" i="50"/>
  <c r="G14" i="37"/>
  <c r="G14" i="41"/>
  <c r="G14" i="43"/>
  <c r="G14" i="36"/>
  <c r="G14" i="35"/>
  <c r="G14" i="49"/>
  <c r="G14" i="47"/>
  <c r="G14" i="45"/>
  <c r="G14" i="40"/>
  <c r="G14" i="38"/>
  <c r="G14" i="44"/>
  <c r="AR47" i="24"/>
  <c r="AT48" i="24"/>
  <c r="AU48" i="24" s="1"/>
  <c r="AT61" i="24"/>
  <c r="AU61" i="24" s="1"/>
  <c r="AT50" i="24"/>
  <c r="AU50" i="24" s="1"/>
  <c r="AT65" i="24"/>
  <c r="AU65" i="24" s="1"/>
  <c r="H71" i="46"/>
  <c r="H71" i="50"/>
  <c r="H71" i="45"/>
  <c r="H71" i="44"/>
  <c r="H71" i="47"/>
  <c r="DE225" i="43"/>
  <c r="H71" i="49"/>
  <c r="H71" i="48"/>
  <c r="H73" i="46"/>
  <c r="H73" i="44"/>
  <c r="H73" i="45"/>
  <c r="H73" i="47"/>
  <c r="H73" i="50"/>
  <c r="H73" i="49"/>
  <c r="DE227" i="43"/>
  <c r="H73" i="48"/>
  <c r="H72" i="50"/>
  <c r="H72" i="46"/>
  <c r="H72" i="49"/>
  <c r="DE226" i="43"/>
  <c r="H72" i="48"/>
  <c r="H72" i="44"/>
  <c r="H72" i="45"/>
  <c r="H72" i="47"/>
  <c r="DE224" i="43"/>
  <c r="H70" i="47"/>
  <c r="H70" i="45"/>
  <c r="H70" i="49"/>
  <c r="H70" i="44"/>
  <c r="H70" i="46"/>
  <c r="H70" i="50"/>
  <c r="H70" i="48"/>
  <c r="AQ51" i="50"/>
  <c r="AR51" i="50" s="1"/>
  <c r="AQ64" i="50"/>
  <c r="AR64" i="50" s="1"/>
  <c r="AQ56" i="50"/>
  <c r="AR56" i="50" s="1"/>
  <c r="AQ52" i="50"/>
  <c r="AR52" i="50" s="1"/>
  <c r="AQ58" i="50"/>
  <c r="AR58" i="50" s="1"/>
  <c r="AQ53" i="50"/>
  <c r="AR53" i="50" s="1"/>
  <c r="AQ48" i="50"/>
  <c r="AR48" i="50" s="1"/>
  <c r="AQ60" i="50"/>
  <c r="AR60" i="50" s="1"/>
  <c r="AQ63" i="50"/>
  <c r="AR63" i="50" s="1"/>
  <c r="AQ67" i="50"/>
  <c r="AR67" i="50" s="1"/>
  <c r="AQ66" i="50"/>
  <c r="AR66" i="50" s="1"/>
  <c r="AQ54" i="50"/>
  <c r="AR54" i="50" s="1"/>
  <c r="AQ65" i="50"/>
  <c r="AR65" i="50" s="1"/>
  <c r="AQ59" i="50"/>
  <c r="AR59" i="50" s="1"/>
  <c r="AQ55" i="50"/>
  <c r="AR55" i="50" s="1"/>
  <c r="AQ50" i="50"/>
  <c r="AR50" i="50" s="1"/>
  <c r="AQ49" i="50"/>
  <c r="AR49" i="50" s="1"/>
  <c r="AQ61" i="50"/>
  <c r="AR61" i="50" s="1"/>
  <c r="AQ62" i="50"/>
  <c r="AR62" i="50" s="1"/>
  <c r="AQ57" i="50"/>
  <c r="AR57" i="50" s="1"/>
  <c r="AN22" i="50"/>
  <c r="AM22" i="50"/>
  <c r="AW28" i="50" s="1"/>
  <c r="AT28" i="50" s="1"/>
  <c r="T57" i="50"/>
  <c r="DE211" i="49"/>
  <c r="AO20" i="43"/>
  <c r="AO82" i="43" s="1"/>
  <c r="AP47" i="47"/>
  <c r="AP46" i="47" s="1"/>
  <c r="AL22" i="47" s="1"/>
  <c r="AN22" i="47" s="1"/>
  <c r="AO22" i="47" s="1"/>
  <c r="AP47" i="49"/>
  <c r="AQ50" i="49" s="1"/>
  <c r="AR50" i="49" s="1"/>
  <c r="AO83" i="24"/>
  <c r="AT83" i="24" s="1"/>
  <c r="AU28" i="24"/>
  <c r="AV28" i="24" s="1"/>
  <c r="AP47" i="46"/>
  <c r="AQ59" i="46" s="1"/>
  <c r="AR59" i="46" s="1"/>
  <c r="AQ21" i="49"/>
  <c r="AQ83" i="49" s="1"/>
  <c r="AO21" i="49"/>
  <c r="AR21" i="49"/>
  <c r="AR83" i="49" s="1"/>
  <c r="AQ20" i="43"/>
  <c r="AQ82" i="43" s="1"/>
  <c r="AN21" i="43"/>
  <c r="AR21" i="43" s="1"/>
  <c r="AR83" i="43" s="1"/>
  <c r="AN47" i="43"/>
  <c r="AO48" i="43" s="1"/>
  <c r="AP48" i="43" s="1"/>
  <c r="AP47" i="48"/>
  <c r="AQ62" i="48" s="1"/>
  <c r="AR62" i="48" s="1"/>
  <c r="AO21" i="45"/>
  <c r="AQ21" i="45"/>
  <c r="AQ83" i="45" s="1"/>
  <c r="AR21" i="45"/>
  <c r="AR83" i="45" s="1"/>
  <c r="J57" i="45"/>
  <c r="J57" i="46"/>
  <c r="J57" i="47"/>
  <c r="J57" i="50"/>
  <c r="J57" i="49"/>
  <c r="J57" i="48"/>
  <c r="AU27" i="45"/>
  <c r="AV27" i="45" s="1"/>
  <c r="AO82" i="45"/>
  <c r="AT82" i="45" s="1"/>
  <c r="AW27" i="46"/>
  <c r="AT27" i="46" s="1"/>
  <c r="AW27" i="45"/>
  <c r="AT27" i="45" s="1"/>
  <c r="AP47" i="45"/>
  <c r="AQ51" i="45" s="1"/>
  <c r="AR51" i="45" s="1"/>
  <c r="L57" i="46"/>
  <c r="L57" i="49"/>
  <c r="L57" i="47"/>
  <c r="L57" i="48"/>
  <c r="L57" i="50"/>
  <c r="AQ6" i="48"/>
  <c r="AW27" i="48"/>
  <c r="AT27" i="48" s="1"/>
  <c r="AU27" i="48"/>
  <c r="AV27" i="48" s="1"/>
  <c r="AO82" i="48"/>
  <c r="AT82" i="48" s="1"/>
  <c r="AP47" i="39"/>
  <c r="AQ65" i="39" s="1"/>
  <c r="AR65" i="39" s="1"/>
  <c r="AQ6" i="39"/>
  <c r="AW27" i="39"/>
  <c r="AT27" i="39" s="1"/>
  <c r="AW27" i="44"/>
  <c r="AT27" i="44" s="1"/>
  <c r="AR21" i="48"/>
  <c r="AR83" i="48" s="1"/>
  <c r="AO21" i="48"/>
  <c r="AQ21" i="48"/>
  <c r="AQ83" i="48" s="1"/>
  <c r="R57" i="49"/>
  <c r="R57" i="50"/>
  <c r="AO21" i="39"/>
  <c r="AR21" i="39"/>
  <c r="AR83" i="39" s="1"/>
  <c r="AQ21" i="39"/>
  <c r="AQ83" i="39" s="1"/>
  <c r="AU27" i="39"/>
  <c r="AV27" i="39" s="1"/>
  <c r="AO82" i="39"/>
  <c r="AT82" i="39" s="1"/>
  <c r="R11" i="40"/>
  <c r="R11" i="48"/>
  <c r="R11" i="41"/>
  <c r="R11" i="50"/>
  <c r="R11" i="46"/>
  <c r="R11" i="49"/>
  <c r="R11" i="44"/>
  <c r="R11" i="47"/>
  <c r="R11" i="45"/>
  <c r="R11" i="43"/>
  <c r="AQ21" i="44"/>
  <c r="AQ83" i="44" s="1"/>
  <c r="AO21" i="44"/>
  <c r="AR21" i="44"/>
  <c r="AR83" i="44" s="1"/>
  <c r="AO82" i="44"/>
  <c r="AT82" i="44" s="1"/>
  <c r="AU27" i="44"/>
  <c r="AV27" i="44" s="1"/>
  <c r="AP47" i="44"/>
  <c r="AQ60" i="44" s="1"/>
  <c r="AR60" i="44" s="1"/>
  <c r="H64" i="47"/>
  <c r="H64" i="45"/>
  <c r="H64" i="44"/>
  <c r="H64" i="49"/>
  <c r="H64" i="48"/>
  <c r="H64" i="46"/>
  <c r="H64" i="50"/>
  <c r="H66" i="47"/>
  <c r="H66" i="44"/>
  <c r="H66" i="48"/>
  <c r="H66" i="49"/>
  <c r="H66" i="45"/>
  <c r="H66" i="46"/>
  <c r="H66" i="50"/>
  <c r="H65" i="46"/>
  <c r="H65" i="48"/>
  <c r="H65" i="44"/>
  <c r="H65" i="49"/>
  <c r="H65" i="47"/>
  <c r="H65" i="50"/>
  <c r="H65" i="45"/>
  <c r="H61" i="49"/>
  <c r="H61" i="44"/>
  <c r="H61" i="47"/>
  <c r="H61" i="50"/>
  <c r="H61" i="45"/>
  <c r="H61" i="48"/>
  <c r="H61" i="46"/>
  <c r="H67" i="47"/>
  <c r="H67" i="48"/>
  <c r="H67" i="45"/>
  <c r="H67" i="44"/>
  <c r="H67" i="50"/>
  <c r="H67" i="49"/>
  <c r="H67" i="46"/>
  <c r="H63" i="48"/>
  <c r="H63" i="44"/>
  <c r="H63" i="45"/>
  <c r="H63" i="50"/>
  <c r="H63" i="46"/>
  <c r="H63" i="49"/>
  <c r="H63" i="47"/>
  <c r="H60" i="46"/>
  <c r="H60" i="48"/>
  <c r="H60" i="49"/>
  <c r="H60" i="50"/>
  <c r="H60" i="45"/>
  <c r="H60" i="44"/>
  <c r="H60" i="47"/>
  <c r="H58" i="47"/>
  <c r="H58" i="46"/>
  <c r="H58" i="49"/>
  <c r="H58" i="45"/>
  <c r="H58" i="48"/>
  <c r="H58" i="44"/>
  <c r="H58" i="50"/>
  <c r="H59" i="49"/>
  <c r="H59" i="50"/>
  <c r="H59" i="44"/>
  <c r="H59" i="48"/>
  <c r="H59" i="47"/>
  <c r="H59" i="45"/>
  <c r="H59" i="46"/>
  <c r="BK49" i="43"/>
  <c r="H57" i="43" s="1"/>
  <c r="DE211" i="43" s="1"/>
  <c r="BG25" i="43"/>
  <c r="BG27" i="43" s="1"/>
  <c r="BK70" i="43" s="1"/>
  <c r="H68" i="45"/>
  <c r="H68" i="47"/>
  <c r="H68" i="46"/>
  <c r="H68" i="48"/>
  <c r="H68" i="44"/>
  <c r="H68" i="49"/>
  <c r="H68" i="50"/>
  <c r="H69" i="49"/>
  <c r="H69" i="44"/>
  <c r="H69" i="50"/>
  <c r="H69" i="47"/>
  <c r="H69" i="48"/>
  <c r="H69" i="46"/>
  <c r="H69" i="45"/>
  <c r="H62" i="48"/>
  <c r="H62" i="45"/>
  <c r="H62" i="49"/>
  <c r="H62" i="47"/>
  <c r="H62" i="46"/>
  <c r="H62" i="44"/>
  <c r="H62" i="50"/>
  <c r="A11" i="39"/>
  <c r="DA211" i="39" s="1"/>
  <c r="BN8" i="38"/>
  <c r="BI5" i="38"/>
  <c r="AW27" i="43"/>
  <c r="AT27" i="43" s="1"/>
  <c r="BN27" i="38"/>
  <c r="BI24" i="38"/>
  <c r="A30" i="39"/>
  <c r="DA230" i="39" s="1"/>
  <c r="BI9" i="38"/>
  <c r="A15" i="39"/>
  <c r="DA215" i="39" s="1"/>
  <c r="BN12" i="38"/>
  <c r="BN26" i="38"/>
  <c r="A29" i="39"/>
  <c r="DA229" i="39" s="1"/>
  <c r="BI23" i="38"/>
  <c r="BN25" i="38"/>
  <c r="A28" i="39"/>
  <c r="DA228" i="39" s="1"/>
  <c r="BI22" i="38"/>
  <c r="AU28" i="47"/>
  <c r="AV28" i="47" s="1"/>
  <c r="AO83" i="47"/>
  <c r="AT83" i="47" s="1"/>
  <c r="AU28" i="46"/>
  <c r="AV28" i="46" s="1"/>
  <c r="AO83" i="46"/>
  <c r="AT83" i="46" s="1"/>
  <c r="AA25" i="40" l="1"/>
  <c r="AA26" i="40"/>
  <c r="AA24" i="40"/>
  <c r="AE25" i="40"/>
  <c r="AF25" i="40" s="1"/>
  <c r="AG25" i="40" s="1"/>
  <c r="BO19" i="40"/>
  <c r="AC25" i="40"/>
  <c r="AK59" i="40"/>
  <c r="AL59" i="40" s="1"/>
  <c r="AA20" i="40"/>
  <c r="BJ11" i="40"/>
  <c r="AA16" i="40"/>
  <c r="BJ7" i="40"/>
  <c r="AA18" i="40"/>
  <c r="BJ9" i="40"/>
  <c r="AA22" i="40"/>
  <c r="BJ13" i="40"/>
  <c r="AA21" i="40"/>
  <c r="BJ12" i="40"/>
  <c r="AA17" i="40"/>
  <c r="BJ8" i="40"/>
  <c r="AK60" i="40"/>
  <c r="AL60" i="40" s="1"/>
  <c r="AC26" i="40"/>
  <c r="BO20" i="40"/>
  <c r="AC24" i="40"/>
  <c r="AK58" i="40"/>
  <c r="AL58" i="40" s="1"/>
  <c r="BO18" i="40"/>
  <c r="AA19" i="40"/>
  <c r="BJ10" i="40"/>
  <c r="AA23" i="40"/>
  <c r="BJ14" i="40"/>
  <c r="AA15" i="40"/>
  <c r="BJ6" i="40"/>
  <c r="S11" i="40"/>
  <c r="S11" i="48"/>
  <c r="S11" i="43"/>
  <c r="S11" i="44"/>
  <c r="S11" i="41"/>
  <c r="DF211" i="39"/>
  <c r="S11" i="49"/>
  <c r="S11" i="50"/>
  <c r="S11" i="46"/>
  <c r="S11" i="45"/>
  <c r="S11" i="47"/>
  <c r="S32" i="39"/>
  <c r="AA17" i="34"/>
  <c r="BJ8" i="34"/>
  <c r="DA214" i="24"/>
  <c r="BN11" i="24"/>
  <c r="A14" i="34"/>
  <c r="BI8" i="24"/>
  <c r="AA19" i="34"/>
  <c r="BJ10" i="34"/>
  <c r="DA216" i="24"/>
  <c r="BN13" i="24"/>
  <c r="BI10" i="24"/>
  <c r="AA16" i="34"/>
  <c r="BJ7" i="34"/>
  <c r="DA213" i="24"/>
  <c r="BI7" i="24"/>
  <c r="BN10" i="24"/>
  <c r="AA15" i="34"/>
  <c r="BJ6" i="34"/>
  <c r="DA212" i="24"/>
  <c r="BI6" i="24"/>
  <c r="BN9" i="24"/>
  <c r="AE24" i="34"/>
  <c r="AF24" i="34" s="1"/>
  <c r="AG24" i="34" s="1"/>
  <c r="BO18" i="34"/>
  <c r="AK58" i="34"/>
  <c r="AL58" i="34" s="1"/>
  <c r="AC24" i="34"/>
  <c r="DA221" i="24"/>
  <c r="BN18" i="24"/>
  <c r="BI15" i="24"/>
  <c r="AA22" i="34"/>
  <c r="BJ13" i="34"/>
  <c r="DA219" i="24"/>
  <c r="BN16" i="24"/>
  <c r="BI13" i="24"/>
  <c r="DF232" i="24"/>
  <c r="G32" i="48"/>
  <c r="G33" i="48" s="1"/>
  <c r="G32" i="50"/>
  <c r="G33" i="50" s="1"/>
  <c r="G32" i="37"/>
  <c r="G33" i="37" s="1"/>
  <c r="G32" i="45"/>
  <c r="G33" i="45" s="1"/>
  <c r="G32" i="36"/>
  <c r="G33" i="36" s="1"/>
  <c r="G32" i="38"/>
  <c r="G33" i="38" s="1"/>
  <c r="G32" i="40"/>
  <c r="G33" i="40" s="1"/>
  <c r="G32" i="41"/>
  <c r="G33" i="41" s="1"/>
  <c r="G32" i="35"/>
  <c r="G33" i="35" s="1"/>
  <c r="G32" i="43"/>
  <c r="G33" i="43" s="1"/>
  <c r="G33" i="24"/>
  <c r="U4" i="24" s="1"/>
  <c r="G32" i="39"/>
  <c r="G33" i="39" s="1"/>
  <c r="G32" i="44"/>
  <c r="G33" i="44" s="1"/>
  <c r="G32" i="46"/>
  <c r="G33" i="46" s="1"/>
  <c r="G32" i="49"/>
  <c r="G33" i="49" s="1"/>
  <c r="G32" i="34"/>
  <c r="G33" i="34" s="1"/>
  <c r="G32" i="47"/>
  <c r="G33" i="47" s="1"/>
  <c r="AA14" i="34"/>
  <c r="BJ5" i="34"/>
  <c r="AA18" i="34"/>
  <c r="BJ9" i="34"/>
  <c r="AE25" i="34"/>
  <c r="AF25" i="34" s="1"/>
  <c r="AG25" i="34" s="1"/>
  <c r="BO19" i="34"/>
  <c r="AC25" i="34"/>
  <c r="AK59" i="34"/>
  <c r="AL59" i="34" s="1"/>
  <c r="DA222" i="24"/>
  <c r="BN19" i="24"/>
  <c r="BI16" i="24"/>
  <c r="AE20" i="34"/>
  <c r="AF20" i="34" s="1"/>
  <c r="AG20" i="34" s="1"/>
  <c r="BO14" i="34"/>
  <c r="AK54" i="34"/>
  <c r="AL54" i="34" s="1"/>
  <c r="AC20" i="34"/>
  <c r="AE23" i="34"/>
  <c r="AF23" i="34" s="1"/>
  <c r="AG23" i="34" s="1"/>
  <c r="AC23" i="34"/>
  <c r="BO17" i="34"/>
  <c r="AK57" i="34"/>
  <c r="AL57" i="34" s="1"/>
  <c r="AM22" i="47"/>
  <c r="AW28" i="47" s="1"/>
  <c r="AT28" i="47" s="1"/>
  <c r="AT56" i="24"/>
  <c r="AU56" i="24" s="1"/>
  <c r="AR46" i="24"/>
  <c r="AL23" i="24" s="1"/>
  <c r="AO22" i="24" s="1"/>
  <c r="AO84" i="24" s="1"/>
  <c r="AT64" i="24"/>
  <c r="AU64" i="24" s="1"/>
  <c r="AT53" i="24"/>
  <c r="AU53" i="24" s="1"/>
  <c r="AT63" i="24"/>
  <c r="AU63" i="24" s="1"/>
  <c r="AT60" i="24"/>
  <c r="AU60" i="24" s="1"/>
  <c r="AT55" i="24"/>
  <c r="AU55" i="24" s="1"/>
  <c r="AT54" i="24"/>
  <c r="AU54" i="24" s="1"/>
  <c r="AT58" i="24"/>
  <c r="AU58" i="24" s="1"/>
  <c r="AT59" i="24"/>
  <c r="AU59" i="24" s="1"/>
  <c r="AT62" i="24"/>
  <c r="AU62" i="24" s="1"/>
  <c r="AT49" i="24"/>
  <c r="AU49" i="24" s="1"/>
  <c r="AT52" i="24"/>
  <c r="AU52" i="24" s="1"/>
  <c r="AT57" i="24"/>
  <c r="AU57" i="24" s="1"/>
  <c r="AT67" i="24"/>
  <c r="AU67" i="24" s="1"/>
  <c r="AT66" i="24"/>
  <c r="AU66" i="24" s="1"/>
  <c r="AT51" i="24"/>
  <c r="AU51" i="24" s="1"/>
  <c r="AR47" i="50"/>
  <c r="AT52" i="50" s="1"/>
  <c r="AU52" i="50" s="1"/>
  <c r="AT51" i="50"/>
  <c r="AU51" i="50" s="1"/>
  <c r="AR22" i="50"/>
  <c r="AR84" i="50" s="1"/>
  <c r="AO22" i="50"/>
  <c r="AQ22" i="50"/>
  <c r="AQ84" i="50" s="1"/>
  <c r="AO62" i="43"/>
  <c r="AP62" i="43" s="1"/>
  <c r="AO61" i="43"/>
  <c r="AP61" i="43" s="1"/>
  <c r="AO56" i="43"/>
  <c r="AP56" i="43" s="1"/>
  <c r="AO53" i="43"/>
  <c r="AP53" i="43" s="1"/>
  <c r="AQ61" i="47"/>
  <c r="AR61" i="47" s="1"/>
  <c r="AO49" i="43"/>
  <c r="AP49" i="43" s="1"/>
  <c r="AO67" i="43"/>
  <c r="AP67" i="43" s="1"/>
  <c r="AO58" i="43"/>
  <c r="AP58" i="43" s="1"/>
  <c r="AO64" i="43"/>
  <c r="AP64" i="43" s="1"/>
  <c r="AT82" i="43"/>
  <c r="AR22" i="47"/>
  <c r="AR84" i="47" s="1"/>
  <c r="AQ48" i="47"/>
  <c r="AR48" i="47" s="1"/>
  <c r="AQ62" i="47"/>
  <c r="AR62" i="47" s="1"/>
  <c r="AQ59" i="47"/>
  <c r="AR59" i="47" s="1"/>
  <c r="AQ51" i="47"/>
  <c r="AR51" i="47" s="1"/>
  <c r="AU27" i="43"/>
  <c r="AV27" i="43" s="1"/>
  <c r="AQ66" i="47"/>
  <c r="AR66" i="47" s="1"/>
  <c r="AO51" i="43"/>
  <c r="AP51" i="43" s="1"/>
  <c r="AQ66" i="46"/>
  <c r="AR66" i="46" s="1"/>
  <c r="AO66" i="43"/>
  <c r="AP66" i="43" s="1"/>
  <c r="AO63" i="43"/>
  <c r="AP63" i="43" s="1"/>
  <c r="AO60" i="43"/>
  <c r="AP60" i="43" s="1"/>
  <c r="AO57" i="43"/>
  <c r="AP57" i="43" s="1"/>
  <c r="AO54" i="43"/>
  <c r="AP54" i="43" s="1"/>
  <c r="AO50" i="43"/>
  <c r="AP50" i="43" s="1"/>
  <c r="AO55" i="43"/>
  <c r="AP55" i="43" s="1"/>
  <c r="AN46" i="43"/>
  <c r="AO65" i="43"/>
  <c r="AP65" i="43" s="1"/>
  <c r="AO59" i="43"/>
  <c r="AP59" i="43" s="1"/>
  <c r="AQ56" i="46"/>
  <c r="AR56" i="46" s="1"/>
  <c r="AO52" i="43"/>
  <c r="AP52" i="43" s="1"/>
  <c r="AQ66" i="48"/>
  <c r="AR66" i="48" s="1"/>
  <c r="AQ21" i="43"/>
  <c r="AQ83" i="43" s="1"/>
  <c r="AU29" i="24"/>
  <c r="AQ52" i="47"/>
  <c r="AR52" i="47" s="1"/>
  <c r="AQ65" i="47"/>
  <c r="AR65" i="47" s="1"/>
  <c r="AQ60" i="47"/>
  <c r="AR60" i="47" s="1"/>
  <c r="AQ67" i="47"/>
  <c r="AR67" i="47" s="1"/>
  <c r="AQ58" i="47"/>
  <c r="AR58" i="47" s="1"/>
  <c r="AQ22" i="47"/>
  <c r="AQ84" i="47" s="1"/>
  <c r="AQ64" i="47"/>
  <c r="AR64" i="47" s="1"/>
  <c r="AQ63" i="47"/>
  <c r="AR63" i="47" s="1"/>
  <c r="AQ56" i="47"/>
  <c r="AR56" i="47" s="1"/>
  <c r="AQ57" i="47"/>
  <c r="AR57" i="47" s="1"/>
  <c r="AQ54" i="47"/>
  <c r="AR54" i="47" s="1"/>
  <c r="AQ56" i="49"/>
  <c r="AR56" i="49" s="1"/>
  <c r="AQ53" i="47"/>
  <c r="AR53" i="47" s="1"/>
  <c r="AQ49" i="47"/>
  <c r="AR49" i="47" s="1"/>
  <c r="AQ50" i="47"/>
  <c r="AR50" i="47" s="1"/>
  <c r="AQ51" i="49"/>
  <c r="AR51" i="49" s="1"/>
  <c r="AQ53" i="46"/>
  <c r="AR53" i="46" s="1"/>
  <c r="AQ60" i="46"/>
  <c r="AR60" i="46" s="1"/>
  <c r="AQ49" i="46"/>
  <c r="AR49" i="46" s="1"/>
  <c r="AP46" i="46"/>
  <c r="AL22" i="46" s="1"/>
  <c r="AN22" i="46" s="1"/>
  <c r="AQ52" i="46"/>
  <c r="AR52" i="46" s="1"/>
  <c r="AQ66" i="49"/>
  <c r="AR66" i="49" s="1"/>
  <c r="AQ65" i="49"/>
  <c r="AR65" i="49" s="1"/>
  <c r="AQ58" i="46"/>
  <c r="AR58" i="46" s="1"/>
  <c r="AQ57" i="46"/>
  <c r="AR57" i="46" s="1"/>
  <c r="AQ48" i="46"/>
  <c r="AR48" i="46" s="1"/>
  <c r="AQ65" i="46"/>
  <c r="AR65" i="46" s="1"/>
  <c r="AQ54" i="46"/>
  <c r="AR54" i="46" s="1"/>
  <c r="AQ67" i="46"/>
  <c r="AR67" i="46" s="1"/>
  <c r="AQ54" i="48"/>
  <c r="AR54" i="48" s="1"/>
  <c r="AV29" i="24"/>
  <c r="AQ55" i="49"/>
  <c r="AR55" i="49" s="1"/>
  <c r="AQ60" i="49"/>
  <c r="AR60" i="49" s="1"/>
  <c r="AQ57" i="49"/>
  <c r="AR57" i="49" s="1"/>
  <c r="AQ63" i="48"/>
  <c r="AR63" i="48" s="1"/>
  <c r="AQ50" i="46"/>
  <c r="AR50" i="46" s="1"/>
  <c r="AQ62" i="46"/>
  <c r="AR62" i="46" s="1"/>
  <c r="AO21" i="43"/>
  <c r="AO83" i="43" s="1"/>
  <c r="AQ63" i="46"/>
  <c r="AR63" i="46" s="1"/>
  <c r="AQ61" i="46"/>
  <c r="AR61" i="46" s="1"/>
  <c r="AQ55" i="46"/>
  <c r="AR55" i="46" s="1"/>
  <c r="AQ64" i="46"/>
  <c r="AR64" i="46" s="1"/>
  <c r="AQ51" i="46"/>
  <c r="AR51" i="46" s="1"/>
  <c r="AQ65" i="48"/>
  <c r="AR65" i="48" s="1"/>
  <c r="AQ55" i="47"/>
  <c r="AR55" i="47" s="1"/>
  <c r="AQ63" i="49"/>
  <c r="AR63" i="49" s="1"/>
  <c r="AQ53" i="49"/>
  <c r="AR53" i="49" s="1"/>
  <c r="AQ48" i="49"/>
  <c r="AR48" i="49" s="1"/>
  <c r="AQ49" i="49"/>
  <c r="AR49" i="49" s="1"/>
  <c r="AP46" i="49"/>
  <c r="AL22" i="49" s="1"/>
  <c r="AQ64" i="49"/>
  <c r="AR64" i="49" s="1"/>
  <c r="AQ52" i="49"/>
  <c r="AR52" i="49" s="1"/>
  <c r="AQ62" i="49"/>
  <c r="AR62" i="49" s="1"/>
  <c r="AQ54" i="49"/>
  <c r="AR54" i="49" s="1"/>
  <c r="AQ61" i="49"/>
  <c r="AR61" i="49" s="1"/>
  <c r="AQ67" i="49"/>
  <c r="AR67" i="49" s="1"/>
  <c r="AQ59" i="49"/>
  <c r="AR59" i="49" s="1"/>
  <c r="AQ58" i="49"/>
  <c r="AR58" i="49" s="1"/>
  <c r="AQ49" i="48"/>
  <c r="AR49" i="48" s="1"/>
  <c r="AO83" i="49"/>
  <c r="AT83" i="49" s="1"/>
  <c r="AU28" i="49"/>
  <c r="AV28" i="49" s="1"/>
  <c r="AQ58" i="48"/>
  <c r="AR58" i="48" s="1"/>
  <c r="AQ59" i="48"/>
  <c r="AR59" i="48" s="1"/>
  <c r="AQ56" i="48"/>
  <c r="AR56" i="48" s="1"/>
  <c r="AQ51" i="48"/>
  <c r="AR51" i="48" s="1"/>
  <c r="AQ55" i="48"/>
  <c r="AR55" i="48" s="1"/>
  <c r="AQ61" i="48"/>
  <c r="AR61" i="48" s="1"/>
  <c r="AQ52" i="48"/>
  <c r="AR52" i="48" s="1"/>
  <c r="AQ48" i="48"/>
  <c r="AR48" i="48" s="1"/>
  <c r="AP46" i="48"/>
  <c r="AL22" i="48" s="1"/>
  <c r="AQ53" i="48"/>
  <c r="AR53" i="48" s="1"/>
  <c r="AQ57" i="48"/>
  <c r="AR57" i="48" s="1"/>
  <c r="AQ64" i="48"/>
  <c r="AR64" i="48" s="1"/>
  <c r="AQ50" i="48"/>
  <c r="AR50" i="48" s="1"/>
  <c r="AQ60" i="48"/>
  <c r="AR60" i="48" s="1"/>
  <c r="AQ67" i="48"/>
  <c r="AR67" i="48" s="1"/>
  <c r="AQ55" i="45"/>
  <c r="AR55" i="45" s="1"/>
  <c r="AQ58" i="45"/>
  <c r="AR58" i="45" s="1"/>
  <c r="AO83" i="45"/>
  <c r="AT83" i="45" s="1"/>
  <c r="AU28" i="45"/>
  <c r="AV28" i="45" s="1"/>
  <c r="AQ63" i="45"/>
  <c r="AR63" i="45" s="1"/>
  <c r="AQ54" i="45"/>
  <c r="AR54" i="45" s="1"/>
  <c r="AQ53" i="45"/>
  <c r="AR53" i="45" s="1"/>
  <c r="AQ50" i="45"/>
  <c r="AR50" i="45" s="1"/>
  <c r="AQ67" i="45"/>
  <c r="AR67" i="45" s="1"/>
  <c r="AQ66" i="45"/>
  <c r="AR66" i="45" s="1"/>
  <c r="AQ49" i="45"/>
  <c r="AR49" i="45" s="1"/>
  <c r="AQ61" i="45"/>
  <c r="AR61" i="45" s="1"/>
  <c r="AQ56" i="45"/>
  <c r="AR56" i="45" s="1"/>
  <c r="AQ62" i="45"/>
  <c r="AR62" i="45" s="1"/>
  <c r="AQ65" i="45"/>
  <c r="AR65" i="45" s="1"/>
  <c r="AQ48" i="45"/>
  <c r="AR48" i="45" s="1"/>
  <c r="AQ52" i="45"/>
  <c r="AR52" i="45" s="1"/>
  <c r="AP46" i="45"/>
  <c r="AL22" i="45" s="1"/>
  <c r="AQ57" i="45"/>
  <c r="AR57" i="45" s="1"/>
  <c r="AQ60" i="45"/>
  <c r="AR60" i="45" s="1"/>
  <c r="AQ59" i="45"/>
  <c r="AR59" i="45" s="1"/>
  <c r="AQ64" i="45"/>
  <c r="AR64" i="45" s="1"/>
  <c r="AQ59" i="44"/>
  <c r="AR59" i="44" s="1"/>
  <c r="AQ65" i="44"/>
  <c r="AR65" i="44" s="1"/>
  <c r="AQ52" i="44"/>
  <c r="AR52" i="44" s="1"/>
  <c r="AQ49" i="44"/>
  <c r="AR49" i="44" s="1"/>
  <c r="AQ62" i="44"/>
  <c r="AR62" i="44" s="1"/>
  <c r="AO83" i="48"/>
  <c r="AT83" i="48" s="1"/>
  <c r="AU28" i="48"/>
  <c r="AV28" i="48" s="1"/>
  <c r="AQ48" i="39"/>
  <c r="AR48" i="39" s="1"/>
  <c r="AQ58" i="39"/>
  <c r="AR58" i="39" s="1"/>
  <c r="AQ53" i="39"/>
  <c r="AR53" i="39" s="1"/>
  <c r="AQ59" i="39"/>
  <c r="AR59" i="39" s="1"/>
  <c r="AQ63" i="39"/>
  <c r="AR63" i="39" s="1"/>
  <c r="AQ50" i="39"/>
  <c r="AR50" i="39" s="1"/>
  <c r="AQ61" i="39"/>
  <c r="AR61" i="39" s="1"/>
  <c r="AQ52" i="39"/>
  <c r="AR52" i="39" s="1"/>
  <c r="AQ51" i="39"/>
  <c r="AR51" i="39" s="1"/>
  <c r="AQ60" i="39"/>
  <c r="AR60" i="39" s="1"/>
  <c r="AP46" i="39"/>
  <c r="AL22" i="39" s="1"/>
  <c r="AQ54" i="39"/>
  <c r="AR54" i="39" s="1"/>
  <c r="AQ64" i="39"/>
  <c r="AR64" i="39" s="1"/>
  <c r="AQ67" i="39"/>
  <c r="AR67" i="39" s="1"/>
  <c r="AQ49" i="39"/>
  <c r="AR49" i="39" s="1"/>
  <c r="AQ56" i="39"/>
  <c r="AR56" i="39" s="1"/>
  <c r="AQ48" i="44"/>
  <c r="AR48" i="44" s="1"/>
  <c r="AQ66" i="44"/>
  <c r="AR66" i="44" s="1"/>
  <c r="AQ66" i="39"/>
  <c r="AR66" i="39" s="1"/>
  <c r="AQ57" i="39"/>
  <c r="AR57" i="39" s="1"/>
  <c r="AQ55" i="39"/>
  <c r="AR55" i="39" s="1"/>
  <c r="AQ54" i="44"/>
  <c r="AR54" i="44" s="1"/>
  <c r="AO83" i="39"/>
  <c r="AT83" i="39" s="1"/>
  <c r="AU28" i="39"/>
  <c r="AV28" i="39" s="1"/>
  <c r="AQ62" i="39"/>
  <c r="AR62" i="39" s="1"/>
  <c r="AQ57" i="44"/>
  <c r="AR57" i="44" s="1"/>
  <c r="AP46" i="44"/>
  <c r="AL22" i="44" s="1"/>
  <c r="AQ53" i="44"/>
  <c r="AR53" i="44" s="1"/>
  <c r="AQ50" i="44"/>
  <c r="AR50" i="44" s="1"/>
  <c r="AQ51" i="44"/>
  <c r="AR51" i="44" s="1"/>
  <c r="AQ55" i="44"/>
  <c r="AR55" i="44" s="1"/>
  <c r="AQ58" i="44"/>
  <c r="AR58" i="44" s="1"/>
  <c r="AQ64" i="44"/>
  <c r="AR64" i="44" s="1"/>
  <c r="AQ61" i="44"/>
  <c r="AR61" i="44" s="1"/>
  <c r="AQ63" i="44"/>
  <c r="AR63" i="44" s="1"/>
  <c r="AQ67" i="44"/>
  <c r="AR67" i="44" s="1"/>
  <c r="AU28" i="44"/>
  <c r="AV28" i="44" s="1"/>
  <c r="AO83" i="44"/>
  <c r="AT83" i="44" s="1"/>
  <c r="AQ56" i="44"/>
  <c r="AR56" i="44" s="1"/>
  <c r="H57" i="49"/>
  <c r="H57" i="48"/>
  <c r="H57" i="47"/>
  <c r="H57" i="45"/>
  <c r="H57" i="50"/>
  <c r="H57" i="44"/>
  <c r="H57" i="46"/>
  <c r="BI22" i="39"/>
  <c r="A28" i="40"/>
  <c r="DA228" i="40" s="1"/>
  <c r="BN25" i="39"/>
  <c r="BI23" i="39"/>
  <c r="BN26" i="39"/>
  <c r="A29" i="40"/>
  <c r="DA229" i="40" s="1"/>
  <c r="BN27" i="39"/>
  <c r="BI24" i="39"/>
  <c r="A30" i="40"/>
  <c r="DA230" i="40" s="1"/>
  <c r="A11" i="40"/>
  <c r="DA211" i="40" s="1"/>
  <c r="BI5" i="39"/>
  <c r="BN8" i="39"/>
  <c r="BI9" i="39"/>
  <c r="BN12" i="39"/>
  <c r="A15" i="40"/>
  <c r="DA215" i="40" s="1"/>
  <c r="AO84" i="47"/>
  <c r="AU29" i="47"/>
  <c r="AV29" i="47" s="1"/>
  <c r="DF232" i="39" l="1"/>
  <c r="S33" i="39"/>
  <c r="U4" i="39" s="1"/>
  <c r="S32" i="50"/>
  <c r="S33" i="50" s="1"/>
  <c r="S32" i="49"/>
  <c r="S33" i="49" s="1"/>
  <c r="S32" i="40"/>
  <c r="S33" i="40" s="1"/>
  <c r="S32" i="41"/>
  <c r="S33" i="41" s="1"/>
  <c r="S32" i="43"/>
  <c r="S33" i="43" s="1"/>
  <c r="S32" i="45"/>
  <c r="S33" i="45" s="1"/>
  <c r="S32" i="44"/>
  <c r="S33" i="44" s="1"/>
  <c r="S32" i="48"/>
  <c r="S33" i="48" s="1"/>
  <c r="S32" i="47"/>
  <c r="S33" i="47" s="1"/>
  <c r="S32" i="46"/>
  <c r="S33" i="46" s="1"/>
  <c r="AA14" i="40"/>
  <c r="BJ5" i="40"/>
  <c r="AK49" i="40"/>
  <c r="AL49" i="40" s="1"/>
  <c r="AC15" i="40"/>
  <c r="AE15" i="40"/>
  <c r="AF15" i="40" s="1"/>
  <c r="AG15" i="40" s="1"/>
  <c r="BO9" i="40"/>
  <c r="AC23" i="40"/>
  <c r="AK57" i="40"/>
  <c r="AL57" i="40" s="1"/>
  <c r="AE23" i="40"/>
  <c r="AF23" i="40" s="1"/>
  <c r="AG23" i="40" s="1"/>
  <c r="BO17" i="40"/>
  <c r="AE19" i="40"/>
  <c r="AC19" i="40"/>
  <c r="BO13" i="40"/>
  <c r="AK53" i="40"/>
  <c r="AL53" i="40" s="1"/>
  <c r="AC17" i="40"/>
  <c r="AK51" i="40"/>
  <c r="AL51" i="40" s="1"/>
  <c r="AE17" i="40"/>
  <c r="AF17" i="40" s="1"/>
  <c r="AG17" i="40" s="1"/>
  <c r="BO11" i="40"/>
  <c r="BO15" i="40"/>
  <c r="AE21" i="40"/>
  <c r="AF21" i="40" s="1"/>
  <c r="AG21" i="40" s="1"/>
  <c r="AK55" i="40"/>
  <c r="AL55" i="40" s="1"/>
  <c r="AC21" i="40"/>
  <c r="AE22" i="40"/>
  <c r="AF22" i="40" s="1"/>
  <c r="AG22" i="40" s="1"/>
  <c r="AC22" i="40"/>
  <c r="BO16" i="40"/>
  <c r="AK56" i="40"/>
  <c r="AL56" i="40" s="1"/>
  <c r="AE18" i="40"/>
  <c r="BO12" i="40"/>
  <c r="AC18" i="40"/>
  <c r="AK52" i="40"/>
  <c r="AL52" i="40" s="1"/>
  <c r="AE16" i="40"/>
  <c r="AF16" i="40" s="1"/>
  <c r="AG16" i="40" s="1"/>
  <c r="AK50" i="40"/>
  <c r="AL50" i="40" s="1"/>
  <c r="AC16" i="40"/>
  <c r="BO10" i="40"/>
  <c r="AE20" i="40"/>
  <c r="AF20" i="40" s="1"/>
  <c r="AG20" i="40" s="1"/>
  <c r="AK54" i="40"/>
  <c r="AL54" i="40" s="1"/>
  <c r="AC20" i="40"/>
  <c r="BO14" i="40"/>
  <c r="AE18" i="34"/>
  <c r="AK52" i="34"/>
  <c r="AL52" i="34" s="1"/>
  <c r="AC18" i="34"/>
  <c r="BO12" i="34"/>
  <c r="AE14" i="34"/>
  <c r="AK48" i="34"/>
  <c r="AL48" i="34" s="1"/>
  <c r="AC14" i="34"/>
  <c r="BO8" i="34"/>
  <c r="AE22" i="34"/>
  <c r="AF22" i="34" s="1"/>
  <c r="AG22" i="34" s="1"/>
  <c r="BO16" i="34"/>
  <c r="AC22" i="34"/>
  <c r="AK56" i="34"/>
  <c r="AL56" i="34" s="1"/>
  <c r="AE15" i="34"/>
  <c r="AF15" i="34" s="1"/>
  <c r="AG15" i="34" s="1"/>
  <c r="BO9" i="34"/>
  <c r="AK49" i="34"/>
  <c r="AL49" i="34" s="1"/>
  <c r="AC15" i="34"/>
  <c r="AE16" i="34"/>
  <c r="AF16" i="34" s="1"/>
  <c r="AG16" i="34" s="1"/>
  <c r="AK50" i="34"/>
  <c r="AL50" i="34" s="1"/>
  <c r="BO10" i="34"/>
  <c r="AC16" i="34"/>
  <c r="AE19" i="34"/>
  <c r="AF19" i="34" s="1"/>
  <c r="AG19" i="34" s="1"/>
  <c r="AK53" i="34"/>
  <c r="AL53" i="34" s="1"/>
  <c r="AC19" i="34"/>
  <c r="BO13" i="34"/>
  <c r="DA214" i="34"/>
  <c r="BI8" i="34"/>
  <c r="BN11" i="34"/>
  <c r="A14" i="35"/>
  <c r="AE17" i="34"/>
  <c r="AC17" i="34"/>
  <c r="AK51" i="34"/>
  <c r="AL51" i="34" s="1"/>
  <c r="BO11" i="34"/>
  <c r="AT66" i="50"/>
  <c r="AU66" i="50" s="1"/>
  <c r="AT64" i="50"/>
  <c r="AU64" i="50" s="1"/>
  <c r="AT50" i="50"/>
  <c r="AU50" i="50" s="1"/>
  <c r="AT58" i="50"/>
  <c r="AU58" i="50" s="1"/>
  <c r="AR46" i="50"/>
  <c r="AL23" i="50" s="1"/>
  <c r="AN23" i="50" s="1"/>
  <c r="AT55" i="50"/>
  <c r="AU55" i="50" s="1"/>
  <c r="AT62" i="50"/>
  <c r="AU62" i="50" s="1"/>
  <c r="AT48" i="50"/>
  <c r="AU48" i="50" s="1"/>
  <c r="AT63" i="50"/>
  <c r="AU63" i="50" s="1"/>
  <c r="AT67" i="50"/>
  <c r="AU67" i="50" s="1"/>
  <c r="AT54" i="50"/>
  <c r="AU54" i="50" s="1"/>
  <c r="AT49" i="50"/>
  <c r="AU49" i="50" s="1"/>
  <c r="AT61" i="50"/>
  <c r="AU61" i="50" s="1"/>
  <c r="AT53" i="50"/>
  <c r="AU53" i="50" s="1"/>
  <c r="AT65" i="50"/>
  <c r="AU65" i="50" s="1"/>
  <c r="AT56" i="50"/>
  <c r="AU56" i="50" s="1"/>
  <c r="AT60" i="50"/>
  <c r="AU60" i="50" s="1"/>
  <c r="AT59" i="50"/>
  <c r="AU59" i="50" s="1"/>
  <c r="AT57" i="50"/>
  <c r="AU57" i="50" s="1"/>
  <c r="AU47" i="24"/>
  <c r="AV49" i="24"/>
  <c r="AW49" i="24" s="1"/>
  <c r="AV59" i="24"/>
  <c r="AW59" i="24" s="1"/>
  <c r="AV54" i="24"/>
  <c r="AW54" i="24" s="1"/>
  <c r="AV55" i="24"/>
  <c r="AW55" i="24" s="1"/>
  <c r="AV64" i="24"/>
  <c r="AW64" i="24" s="1"/>
  <c r="AN23" i="24"/>
  <c r="AM23" i="24"/>
  <c r="AV56" i="24"/>
  <c r="AW56" i="24" s="1"/>
  <c r="AU29" i="50"/>
  <c r="AV29" i="50" s="1"/>
  <c r="AO84" i="50"/>
  <c r="AT84" i="50" s="1"/>
  <c r="AT83" i="43"/>
  <c r="AP47" i="43"/>
  <c r="AQ55" i="43" s="1"/>
  <c r="AR55" i="43" s="1"/>
  <c r="AU28" i="43"/>
  <c r="AV28" i="43" s="1"/>
  <c r="AR47" i="47"/>
  <c r="AT65" i="47" s="1"/>
  <c r="AU65" i="47" s="1"/>
  <c r="AM22" i="46"/>
  <c r="AW28" i="46" s="1"/>
  <c r="AT28" i="46" s="1"/>
  <c r="AT84" i="47"/>
  <c r="AR47" i="49"/>
  <c r="AT65" i="49" s="1"/>
  <c r="AU65" i="49" s="1"/>
  <c r="AR47" i="46"/>
  <c r="AT63" i="46" s="1"/>
  <c r="AU63" i="46" s="1"/>
  <c r="AM22" i="49"/>
  <c r="AW28" i="49" s="1"/>
  <c r="AT28" i="49" s="1"/>
  <c r="AN22" i="49"/>
  <c r="AR47" i="48"/>
  <c r="AT62" i="48" s="1"/>
  <c r="AU62" i="48" s="1"/>
  <c r="AN22" i="48"/>
  <c r="AM22" i="48"/>
  <c r="AW28" i="48" s="1"/>
  <c r="AT28" i="48" s="1"/>
  <c r="AM22" i="45"/>
  <c r="AW28" i="45" s="1"/>
  <c r="AT28" i="45" s="1"/>
  <c r="AN22" i="45"/>
  <c r="AR47" i="45"/>
  <c r="AR47" i="44"/>
  <c r="AT48" i="44" s="1"/>
  <c r="AU48" i="44" s="1"/>
  <c r="AN22" i="39"/>
  <c r="AM22" i="39"/>
  <c r="AW28" i="39" s="1"/>
  <c r="AT28" i="39" s="1"/>
  <c r="AR47" i="39"/>
  <c r="AM22" i="44"/>
  <c r="AW28" i="44" s="1"/>
  <c r="AT28" i="44" s="1"/>
  <c r="AN22" i="44"/>
  <c r="BN8" i="40"/>
  <c r="BI5" i="40"/>
  <c r="A11" i="41"/>
  <c r="DA211" i="41" s="1"/>
  <c r="BI22" i="40"/>
  <c r="BN25" i="40"/>
  <c r="A28" i="41"/>
  <c r="DA228" i="41" s="1"/>
  <c r="BI9" i="40"/>
  <c r="A15" i="41"/>
  <c r="DA215" i="41" s="1"/>
  <c r="BN12" i="40"/>
  <c r="BI23" i="40"/>
  <c r="BN26" i="40"/>
  <c r="A29" i="41"/>
  <c r="DA229" i="41" s="1"/>
  <c r="BI24" i="40"/>
  <c r="BN27" i="40"/>
  <c r="A30" i="41"/>
  <c r="DA230" i="41" s="1"/>
  <c r="AQ22" i="46"/>
  <c r="AQ84" i="46" s="1"/>
  <c r="AR22" i="46"/>
  <c r="AR84" i="46" s="1"/>
  <c r="AO22" i="46"/>
  <c r="BW57" i="40" l="1"/>
  <c r="BW69" i="40" s="1"/>
  <c r="BN57" i="40"/>
  <c r="BJ57" i="40" s="1"/>
  <c r="AF18" i="40"/>
  <c r="AG18" i="40" s="1"/>
  <c r="AF19" i="40"/>
  <c r="AG19" i="40" s="1"/>
  <c r="AC14" i="40"/>
  <c r="AK48" i="40"/>
  <c r="AL48" i="40" s="1"/>
  <c r="AE14" i="40"/>
  <c r="AF14" i="40" s="1"/>
  <c r="BO8" i="40"/>
  <c r="AF17" i="34"/>
  <c r="AG17" i="34" s="1"/>
  <c r="DA214" i="35"/>
  <c r="BN11" i="35"/>
  <c r="BI8" i="35"/>
  <c r="A14" i="36"/>
  <c r="AL47" i="34"/>
  <c r="AM48" i="34"/>
  <c r="AN48" i="34" s="1"/>
  <c r="AF14" i="34"/>
  <c r="AM52" i="34"/>
  <c r="AN52" i="34" s="1"/>
  <c r="AF18" i="34"/>
  <c r="AG18" i="34" s="1"/>
  <c r="AW29" i="24"/>
  <c r="AT29" i="24" s="1"/>
  <c r="AR22" i="24"/>
  <c r="AR84" i="24" s="1"/>
  <c r="AT84" i="24" s="1"/>
  <c r="AM23" i="50"/>
  <c r="AW29" i="50" s="1"/>
  <c r="AT29" i="50" s="1"/>
  <c r="AT59" i="46"/>
  <c r="AU59" i="46" s="1"/>
  <c r="AU47" i="50"/>
  <c r="AV61" i="50" s="1"/>
  <c r="AW61" i="50" s="1"/>
  <c r="AT58" i="46"/>
  <c r="AU58" i="46" s="1"/>
  <c r="AQ58" i="43"/>
  <c r="AR58" i="43" s="1"/>
  <c r="AQ23" i="24"/>
  <c r="AQ85" i="24" s="1"/>
  <c r="AV48" i="24"/>
  <c r="AW48" i="24" s="1"/>
  <c r="AV65" i="24"/>
  <c r="AW65" i="24" s="1"/>
  <c r="AV58" i="24"/>
  <c r="AW58" i="24" s="1"/>
  <c r="AV50" i="24"/>
  <c r="AW50" i="24" s="1"/>
  <c r="AV61" i="24"/>
  <c r="AW61" i="24" s="1"/>
  <c r="AV57" i="24"/>
  <c r="AW57" i="24" s="1"/>
  <c r="AV63" i="24"/>
  <c r="AW63" i="24" s="1"/>
  <c r="AV60" i="24"/>
  <c r="AW60" i="24" s="1"/>
  <c r="AV66" i="24"/>
  <c r="AW66" i="24" s="1"/>
  <c r="AV62" i="24"/>
  <c r="AW62" i="24" s="1"/>
  <c r="AU46" i="24"/>
  <c r="AL24" i="24" s="1"/>
  <c r="AO23" i="24" s="1"/>
  <c r="AV53" i="24"/>
  <c r="AW53" i="24" s="1"/>
  <c r="AV51" i="24"/>
  <c r="AW51" i="24" s="1"/>
  <c r="AV67" i="24"/>
  <c r="AW67" i="24" s="1"/>
  <c r="AV52" i="24"/>
  <c r="AW52" i="24" s="1"/>
  <c r="AQ52" i="43"/>
  <c r="AR52" i="43" s="1"/>
  <c r="AQ66" i="43"/>
  <c r="AR66" i="43" s="1"/>
  <c r="AQ49" i="43"/>
  <c r="AR49" i="43" s="1"/>
  <c r="AQ48" i="43"/>
  <c r="AR48" i="43" s="1"/>
  <c r="AQ64" i="43"/>
  <c r="AR64" i="43" s="1"/>
  <c r="AT67" i="46"/>
  <c r="AU67" i="46" s="1"/>
  <c r="AQ65" i="43"/>
  <c r="AR65" i="43" s="1"/>
  <c r="AQ63" i="43"/>
  <c r="AR63" i="43" s="1"/>
  <c r="AQ53" i="43"/>
  <c r="AR53" i="43" s="1"/>
  <c r="AT57" i="46"/>
  <c r="AU57" i="46" s="1"/>
  <c r="AQ54" i="43"/>
  <c r="AR54" i="43" s="1"/>
  <c r="AQ67" i="43"/>
  <c r="AR67" i="43" s="1"/>
  <c r="AQ51" i="43"/>
  <c r="AR51" i="43" s="1"/>
  <c r="AQ61" i="43"/>
  <c r="AR61" i="43" s="1"/>
  <c r="AQ60" i="43"/>
  <c r="AR60" i="43" s="1"/>
  <c r="AQ59" i="43"/>
  <c r="AR59" i="43" s="1"/>
  <c r="AQ56" i="43"/>
  <c r="AR56" i="43" s="1"/>
  <c r="AP46" i="43"/>
  <c r="AL22" i="43" s="1"/>
  <c r="AM22" i="43" s="1"/>
  <c r="AW28" i="43" s="1"/>
  <c r="AT28" i="43" s="1"/>
  <c r="AT60" i="46"/>
  <c r="AU60" i="46" s="1"/>
  <c r="AQ57" i="43"/>
  <c r="AR57" i="43" s="1"/>
  <c r="AQ50" i="43"/>
  <c r="AR50" i="43" s="1"/>
  <c r="AQ62" i="43"/>
  <c r="AR62" i="43" s="1"/>
  <c r="AT67" i="47"/>
  <c r="AU67" i="47" s="1"/>
  <c r="AT62" i="47"/>
  <c r="AU62" i="47" s="1"/>
  <c r="AT51" i="47"/>
  <c r="AU51" i="47" s="1"/>
  <c r="AT52" i="47"/>
  <c r="AU52" i="47" s="1"/>
  <c r="AT59" i="47"/>
  <c r="AU59" i="47" s="1"/>
  <c r="AR46" i="47"/>
  <c r="AL23" i="47" s="1"/>
  <c r="AT66" i="47"/>
  <c r="AU66" i="47" s="1"/>
  <c r="AT60" i="47"/>
  <c r="AU60" i="47" s="1"/>
  <c r="AT63" i="47"/>
  <c r="AU63" i="47" s="1"/>
  <c r="AT64" i="47"/>
  <c r="AU64" i="47" s="1"/>
  <c r="AT61" i="47"/>
  <c r="AU61" i="47" s="1"/>
  <c r="AT58" i="47"/>
  <c r="AU58" i="47" s="1"/>
  <c r="AT53" i="47"/>
  <c r="AU53" i="47" s="1"/>
  <c r="AT49" i="47"/>
  <c r="AU49" i="47" s="1"/>
  <c r="AT57" i="47"/>
  <c r="AU57" i="47" s="1"/>
  <c r="AT54" i="47"/>
  <c r="AU54" i="47" s="1"/>
  <c r="AT56" i="47"/>
  <c r="AU56" i="47" s="1"/>
  <c r="AT55" i="47"/>
  <c r="AU55" i="47" s="1"/>
  <c r="AT50" i="47"/>
  <c r="AU50" i="47" s="1"/>
  <c r="AT48" i="47"/>
  <c r="AU48" i="47" s="1"/>
  <c r="AT60" i="49"/>
  <c r="AU60" i="49" s="1"/>
  <c r="AT55" i="48"/>
  <c r="AU55" i="48" s="1"/>
  <c r="AT51" i="49"/>
  <c r="AU51" i="49" s="1"/>
  <c r="AT56" i="49"/>
  <c r="AU56" i="49" s="1"/>
  <c r="AT58" i="48"/>
  <c r="AU58" i="48" s="1"/>
  <c r="AR46" i="49"/>
  <c r="AL23" i="49" s="1"/>
  <c r="AM23" i="49" s="1"/>
  <c r="AW29" i="49" s="1"/>
  <c r="AT29" i="49" s="1"/>
  <c r="AT63" i="49"/>
  <c r="AU63" i="49" s="1"/>
  <c r="AT64" i="49"/>
  <c r="AU64" i="49" s="1"/>
  <c r="AT52" i="49"/>
  <c r="AU52" i="49" s="1"/>
  <c r="AT59" i="49"/>
  <c r="AU59" i="49" s="1"/>
  <c r="AT53" i="49"/>
  <c r="AU53" i="49" s="1"/>
  <c r="AT49" i="46"/>
  <c r="AU49" i="46" s="1"/>
  <c r="AT48" i="46"/>
  <c r="AU48" i="46" s="1"/>
  <c r="AT62" i="46"/>
  <c r="AU62" i="46" s="1"/>
  <c r="AT65" i="46"/>
  <c r="AU65" i="46" s="1"/>
  <c r="AR46" i="46"/>
  <c r="AL23" i="46" s="1"/>
  <c r="AT53" i="46"/>
  <c r="AU53" i="46" s="1"/>
  <c r="AT55" i="46"/>
  <c r="AU55" i="46" s="1"/>
  <c r="AT48" i="49"/>
  <c r="AU48" i="49" s="1"/>
  <c r="AT67" i="49"/>
  <c r="AU67" i="49" s="1"/>
  <c r="AT55" i="49"/>
  <c r="AU55" i="49" s="1"/>
  <c r="AT50" i="49"/>
  <c r="AU50" i="49" s="1"/>
  <c r="AT58" i="49"/>
  <c r="AU58" i="49" s="1"/>
  <c r="AT66" i="46"/>
  <c r="AU66" i="46" s="1"/>
  <c r="AT50" i="46"/>
  <c r="AU50" i="46" s="1"/>
  <c r="AT64" i="46"/>
  <c r="AU64" i="46" s="1"/>
  <c r="AT52" i="46"/>
  <c r="AU52" i="46" s="1"/>
  <c r="AT56" i="46"/>
  <c r="AU56" i="46" s="1"/>
  <c r="AT51" i="46"/>
  <c r="AU51" i="46" s="1"/>
  <c r="AT54" i="46"/>
  <c r="AU54" i="46" s="1"/>
  <c r="AT61" i="46"/>
  <c r="AU61" i="46" s="1"/>
  <c r="AT49" i="49"/>
  <c r="AU49" i="49" s="1"/>
  <c r="AT54" i="49"/>
  <c r="AU54" i="49" s="1"/>
  <c r="AT57" i="49"/>
  <c r="AU57" i="49" s="1"/>
  <c r="AT62" i="49"/>
  <c r="AU62" i="49" s="1"/>
  <c r="AT61" i="49"/>
  <c r="AU61" i="49" s="1"/>
  <c r="AT66" i="49"/>
  <c r="AU66" i="49" s="1"/>
  <c r="AO22" i="49"/>
  <c r="AQ22" i="49"/>
  <c r="AQ84" i="49" s="1"/>
  <c r="AR22" i="49"/>
  <c r="AR84" i="49" s="1"/>
  <c r="AT52" i="48"/>
  <c r="AU52" i="48" s="1"/>
  <c r="AT56" i="48"/>
  <c r="AU56" i="48" s="1"/>
  <c r="AT60" i="48"/>
  <c r="AU60" i="48" s="1"/>
  <c r="AT67" i="48"/>
  <c r="AU67" i="48" s="1"/>
  <c r="AT53" i="48"/>
  <c r="AU53" i="48" s="1"/>
  <c r="AT49" i="48"/>
  <c r="AU49" i="48" s="1"/>
  <c r="AR46" i="48"/>
  <c r="AL23" i="48" s="1"/>
  <c r="AN23" i="48" s="1"/>
  <c r="AT51" i="48"/>
  <c r="AU51" i="48" s="1"/>
  <c r="AT63" i="48"/>
  <c r="AU63" i="48" s="1"/>
  <c r="AT57" i="48"/>
  <c r="AU57" i="48" s="1"/>
  <c r="AT59" i="48"/>
  <c r="AU59" i="48" s="1"/>
  <c r="AT50" i="48"/>
  <c r="AU50" i="48" s="1"/>
  <c r="AT64" i="48"/>
  <c r="AU64" i="48" s="1"/>
  <c r="AT48" i="48"/>
  <c r="AU48" i="48" s="1"/>
  <c r="AT65" i="48"/>
  <c r="AU65" i="48" s="1"/>
  <c r="AT61" i="48"/>
  <c r="AU61" i="48" s="1"/>
  <c r="AT54" i="48"/>
  <c r="AU54" i="48" s="1"/>
  <c r="AT66" i="48"/>
  <c r="AU66" i="48" s="1"/>
  <c r="AT51" i="44"/>
  <c r="AU51" i="44" s="1"/>
  <c r="AT56" i="44"/>
  <c r="AU56" i="44" s="1"/>
  <c r="AT62" i="44"/>
  <c r="AU62" i="44" s="1"/>
  <c r="AT61" i="44"/>
  <c r="AU61" i="44" s="1"/>
  <c r="AT49" i="44"/>
  <c r="AU49" i="44" s="1"/>
  <c r="AO22" i="48"/>
  <c r="AR22" i="48"/>
  <c r="AR84" i="48" s="1"/>
  <c r="AQ22" i="48"/>
  <c r="AQ84" i="48" s="1"/>
  <c r="AT50" i="44"/>
  <c r="AU50" i="44" s="1"/>
  <c r="AT53" i="44"/>
  <c r="AU53" i="44" s="1"/>
  <c r="AT67" i="44"/>
  <c r="AU67" i="44" s="1"/>
  <c r="AT52" i="44"/>
  <c r="AU52" i="44" s="1"/>
  <c r="AR46" i="44"/>
  <c r="AL23" i="44" s="1"/>
  <c r="AM23" i="44" s="1"/>
  <c r="AW29" i="44" s="1"/>
  <c r="AT29" i="44" s="1"/>
  <c r="AT62" i="45"/>
  <c r="AU62" i="45" s="1"/>
  <c r="AT48" i="45"/>
  <c r="AU48" i="45" s="1"/>
  <c r="AT63" i="45"/>
  <c r="AU63" i="45" s="1"/>
  <c r="AT59" i="45"/>
  <c r="AU59" i="45" s="1"/>
  <c r="AT58" i="45"/>
  <c r="AU58" i="45" s="1"/>
  <c r="AT50" i="45"/>
  <c r="AU50" i="45" s="1"/>
  <c r="AT53" i="45"/>
  <c r="AU53" i="45" s="1"/>
  <c r="AT51" i="45"/>
  <c r="AU51" i="45" s="1"/>
  <c r="AT56" i="45"/>
  <c r="AU56" i="45" s="1"/>
  <c r="AT55" i="45"/>
  <c r="AU55" i="45" s="1"/>
  <c r="AT61" i="45"/>
  <c r="AU61" i="45" s="1"/>
  <c r="AT66" i="45"/>
  <c r="AU66" i="45" s="1"/>
  <c r="AT67" i="45"/>
  <c r="AU67" i="45" s="1"/>
  <c r="AT52" i="45"/>
  <c r="AU52" i="45" s="1"/>
  <c r="AR46" i="45"/>
  <c r="AL23" i="45" s="1"/>
  <c r="AM23" i="45" s="1"/>
  <c r="AW29" i="45" s="1"/>
  <c r="AT29" i="45" s="1"/>
  <c r="AT54" i="45"/>
  <c r="AU54" i="45" s="1"/>
  <c r="AT64" i="45"/>
  <c r="AU64" i="45" s="1"/>
  <c r="AT60" i="45"/>
  <c r="AU60" i="45" s="1"/>
  <c r="AT49" i="45"/>
  <c r="AU49" i="45" s="1"/>
  <c r="AT55" i="44"/>
  <c r="AU55" i="44" s="1"/>
  <c r="AT64" i="44"/>
  <c r="AU64" i="44" s="1"/>
  <c r="AT58" i="44"/>
  <c r="AU58" i="44" s="1"/>
  <c r="AT60" i="44"/>
  <c r="AU60" i="44" s="1"/>
  <c r="AT59" i="44"/>
  <c r="AU59" i="44" s="1"/>
  <c r="AT54" i="44"/>
  <c r="AU54" i="44" s="1"/>
  <c r="AR22" i="45"/>
  <c r="AR84" i="45" s="1"/>
  <c r="AQ22" i="45"/>
  <c r="AQ84" i="45" s="1"/>
  <c r="AO22" i="45"/>
  <c r="AT65" i="45"/>
  <c r="AU65" i="45" s="1"/>
  <c r="AT63" i="44"/>
  <c r="AU63" i="44" s="1"/>
  <c r="AT57" i="44"/>
  <c r="AU57" i="44" s="1"/>
  <c r="AT66" i="44"/>
  <c r="AU66" i="44" s="1"/>
  <c r="AT65" i="44"/>
  <c r="AU65" i="44" s="1"/>
  <c r="AT57" i="45"/>
  <c r="AU57" i="45" s="1"/>
  <c r="AT62" i="39"/>
  <c r="AU62" i="39" s="1"/>
  <c r="AT65" i="39"/>
  <c r="AU65" i="39" s="1"/>
  <c r="AR46" i="39"/>
  <c r="AL23" i="39" s="1"/>
  <c r="AT51" i="39"/>
  <c r="AU51" i="39" s="1"/>
  <c r="AT57" i="39"/>
  <c r="AU57" i="39" s="1"/>
  <c r="AT60" i="39"/>
  <c r="AU60" i="39" s="1"/>
  <c r="AT48" i="39"/>
  <c r="AU48" i="39" s="1"/>
  <c r="AT61" i="39"/>
  <c r="AU61" i="39" s="1"/>
  <c r="AT63" i="39"/>
  <c r="AU63" i="39" s="1"/>
  <c r="AT56" i="39"/>
  <c r="AU56" i="39" s="1"/>
  <c r="AT50" i="39"/>
  <c r="AU50" i="39" s="1"/>
  <c r="AT53" i="39"/>
  <c r="AU53" i="39" s="1"/>
  <c r="AT49" i="39"/>
  <c r="AU49" i="39" s="1"/>
  <c r="AT54" i="39"/>
  <c r="AU54" i="39" s="1"/>
  <c r="AT67" i="39"/>
  <c r="AU67" i="39" s="1"/>
  <c r="AT64" i="39"/>
  <c r="AU64" i="39" s="1"/>
  <c r="AT59" i="39"/>
  <c r="AU59" i="39" s="1"/>
  <c r="AT55" i="39"/>
  <c r="AU55" i="39" s="1"/>
  <c r="AT58" i="39"/>
  <c r="AU58" i="39" s="1"/>
  <c r="AT66" i="39"/>
  <c r="AU66" i="39" s="1"/>
  <c r="AO22" i="39"/>
  <c r="AR22" i="39"/>
  <c r="AR84" i="39" s="1"/>
  <c r="AQ22" i="39"/>
  <c r="AQ84" i="39" s="1"/>
  <c r="AT52" i="39"/>
  <c r="AU52" i="39" s="1"/>
  <c r="AQ22" i="44"/>
  <c r="AQ84" i="44" s="1"/>
  <c r="AR22" i="44"/>
  <c r="AR84" i="44" s="1"/>
  <c r="AO22" i="44"/>
  <c r="A61" i="43"/>
  <c r="DA215" i="43" s="1"/>
  <c r="BI9" i="41"/>
  <c r="BN12" i="41"/>
  <c r="BI22" i="41"/>
  <c r="BN25" i="41"/>
  <c r="A74" i="43"/>
  <c r="DA228" i="43" s="1"/>
  <c r="BN8" i="41"/>
  <c r="A57" i="43"/>
  <c r="DA211" i="43" s="1"/>
  <c r="BI5" i="41"/>
  <c r="BN27" i="41"/>
  <c r="BI24" i="41"/>
  <c r="A76" i="43"/>
  <c r="DA230" i="43" s="1"/>
  <c r="BN26" i="41"/>
  <c r="A75" i="43"/>
  <c r="DA229" i="43" s="1"/>
  <c r="BI23" i="41"/>
  <c r="AR23" i="50"/>
  <c r="AR85" i="50" s="1"/>
  <c r="AQ23" i="50"/>
  <c r="AQ85" i="50" s="1"/>
  <c r="AO23" i="50"/>
  <c r="AO84" i="46"/>
  <c r="AT84" i="46" s="1"/>
  <c r="AU29" i="46"/>
  <c r="AV29" i="46" s="1"/>
  <c r="BZ31" i="40" l="1"/>
  <c r="BX30" i="40"/>
  <c r="AG14" i="40"/>
  <c r="AG3" i="40"/>
  <c r="BC12" i="40" s="1"/>
  <c r="AG2" i="40"/>
  <c r="AC43" i="40" s="1"/>
  <c r="AL47" i="40"/>
  <c r="AM48" i="40"/>
  <c r="AN48" i="40" s="1"/>
  <c r="AG14" i="34"/>
  <c r="AG2" i="34"/>
  <c r="AC43" i="34" s="1"/>
  <c r="AG3" i="34"/>
  <c r="BC12" i="34" s="1"/>
  <c r="AM65" i="34"/>
  <c r="AN65" i="34" s="1"/>
  <c r="AM63" i="34"/>
  <c r="AN63" i="34" s="1"/>
  <c r="AM61" i="34"/>
  <c r="AN61" i="34" s="1"/>
  <c r="AM67" i="34"/>
  <c r="AN67" i="34" s="1"/>
  <c r="AM66" i="34"/>
  <c r="AN66" i="34" s="1"/>
  <c r="AL46" i="34"/>
  <c r="AL20" i="34" s="1"/>
  <c r="AM64" i="34"/>
  <c r="AN64" i="34" s="1"/>
  <c r="AM62" i="34"/>
  <c r="AN62" i="34" s="1"/>
  <c r="AM60" i="34"/>
  <c r="AN60" i="34" s="1"/>
  <c r="AM55" i="34"/>
  <c r="AN55" i="34" s="1"/>
  <c r="AM57" i="34"/>
  <c r="AN57" i="34" s="1"/>
  <c r="AM54" i="34"/>
  <c r="AN54" i="34" s="1"/>
  <c r="AM59" i="34"/>
  <c r="AN59" i="34" s="1"/>
  <c r="AM58" i="34"/>
  <c r="AN58" i="34" s="1"/>
  <c r="AM51" i="34"/>
  <c r="AN51" i="34" s="1"/>
  <c r="AM53" i="34"/>
  <c r="AN53" i="34" s="1"/>
  <c r="AM50" i="34"/>
  <c r="AN50" i="34" s="1"/>
  <c r="AM49" i="34"/>
  <c r="AN49" i="34" s="1"/>
  <c r="AM56" i="34"/>
  <c r="AN56" i="34" s="1"/>
  <c r="DA214" i="36"/>
  <c r="BI8" i="36"/>
  <c r="A14" i="37"/>
  <c r="BN11" i="36"/>
  <c r="AV48" i="50"/>
  <c r="AW48" i="50" s="1"/>
  <c r="AV55" i="50"/>
  <c r="AW55" i="50" s="1"/>
  <c r="AV65" i="50"/>
  <c r="AW65" i="50" s="1"/>
  <c r="AV52" i="50"/>
  <c r="AW52" i="50" s="1"/>
  <c r="AV57" i="50"/>
  <c r="AW57" i="50" s="1"/>
  <c r="AV67" i="50"/>
  <c r="AW67" i="50" s="1"/>
  <c r="AV54" i="50"/>
  <c r="AW54" i="50" s="1"/>
  <c r="AV51" i="50"/>
  <c r="AW51" i="50" s="1"/>
  <c r="AV53" i="50"/>
  <c r="AW53" i="50" s="1"/>
  <c r="AV59" i="50"/>
  <c r="AW59" i="50" s="1"/>
  <c r="AV62" i="50"/>
  <c r="AW62" i="50" s="1"/>
  <c r="AV66" i="50"/>
  <c r="AW66" i="50" s="1"/>
  <c r="AV60" i="50"/>
  <c r="AW60" i="50" s="1"/>
  <c r="AV64" i="50"/>
  <c r="AW64" i="50" s="1"/>
  <c r="AV56" i="50"/>
  <c r="AW56" i="50" s="1"/>
  <c r="AV50" i="50"/>
  <c r="AW50" i="50" s="1"/>
  <c r="AU46" i="50"/>
  <c r="AL24" i="50" s="1"/>
  <c r="AV58" i="50"/>
  <c r="AW58" i="50" s="1"/>
  <c r="AV49" i="50"/>
  <c r="AW49" i="50" s="1"/>
  <c r="AV63" i="50"/>
  <c r="AW63" i="50" s="1"/>
  <c r="AM24" i="24"/>
  <c r="AN24" i="24"/>
  <c r="AW47" i="24"/>
  <c r="AW46" i="24" s="1"/>
  <c r="AL25" i="24" s="1"/>
  <c r="AU30" i="24"/>
  <c r="AV30" i="24" s="1"/>
  <c r="AO85" i="24"/>
  <c r="AN22" i="43"/>
  <c r="AQ22" i="43" s="1"/>
  <c r="AQ84" i="43" s="1"/>
  <c r="AR47" i="43"/>
  <c r="AT52" i="43" s="1"/>
  <c r="AU52" i="43" s="1"/>
  <c r="AU47" i="47"/>
  <c r="AV58" i="47" s="1"/>
  <c r="AW58" i="47" s="1"/>
  <c r="AN23" i="44"/>
  <c r="AQ23" i="44" s="1"/>
  <c r="AQ85" i="44" s="1"/>
  <c r="AN23" i="49"/>
  <c r="AR23" i="49" s="1"/>
  <c r="AR85" i="49" s="1"/>
  <c r="AN23" i="47"/>
  <c r="AM23" i="47"/>
  <c r="AW29" i="47" s="1"/>
  <c r="AT29" i="47" s="1"/>
  <c r="AU47" i="46"/>
  <c r="AV64" i="46" s="1"/>
  <c r="AW64" i="46" s="1"/>
  <c r="AU47" i="49"/>
  <c r="AV66" i="49" s="1"/>
  <c r="AW66" i="49" s="1"/>
  <c r="AR23" i="48"/>
  <c r="AR85" i="48" s="1"/>
  <c r="AO23" i="48"/>
  <c r="AO85" i="48" s="1"/>
  <c r="AM23" i="48"/>
  <c r="AW29" i="48" s="1"/>
  <c r="AT29" i="48" s="1"/>
  <c r="AO84" i="49"/>
  <c r="AT84" i="49" s="1"/>
  <c r="AU29" i="49"/>
  <c r="AV29" i="49" s="1"/>
  <c r="AU47" i="48"/>
  <c r="AV59" i="48" s="1"/>
  <c r="AW59" i="48" s="1"/>
  <c r="AQ23" i="48"/>
  <c r="AQ85" i="48" s="1"/>
  <c r="AO84" i="48"/>
  <c r="AT84" i="48" s="1"/>
  <c r="AU29" i="48"/>
  <c r="AV29" i="48" s="1"/>
  <c r="AU47" i="44"/>
  <c r="AV63" i="44" s="1"/>
  <c r="AW63" i="44" s="1"/>
  <c r="AU47" i="45"/>
  <c r="AV57" i="45" s="1"/>
  <c r="AW57" i="45" s="1"/>
  <c r="AN23" i="45"/>
  <c r="AQ23" i="45" s="1"/>
  <c r="AQ85" i="45" s="1"/>
  <c r="AO84" i="45"/>
  <c r="AT84" i="45" s="1"/>
  <c r="AU29" i="45"/>
  <c r="AV29" i="45" s="1"/>
  <c r="AU47" i="39"/>
  <c r="AU46" i="39" s="1"/>
  <c r="AL24" i="39" s="1"/>
  <c r="AN23" i="39"/>
  <c r="AM23" i="39"/>
  <c r="AW29" i="39" s="1"/>
  <c r="AT29" i="39" s="1"/>
  <c r="AT65" i="43"/>
  <c r="AU65" i="43" s="1"/>
  <c r="AO84" i="39"/>
  <c r="AT84" i="39" s="1"/>
  <c r="AU29" i="39"/>
  <c r="AV29" i="39" s="1"/>
  <c r="AO84" i="44"/>
  <c r="AT84" i="44" s="1"/>
  <c r="AU29" i="44"/>
  <c r="AV29" i="44" s="1"/>
  <c r="AT57" i="43"/>
  <c r="AU57" i="43" s="1"/>
  <c r="AT56" i="43"/>
  <c r="AU56" i="43" s="1"/>
  <c r="BN8" i="43"/>
  <c r="A57" i="44"/>
  <c r="DA211" i="44" s="1"/>
  <c r="BI5" i="43"/>
  <c r="BI22" i="43"/>
  <c r="BN25" i="43"/>
  <c r="A74" i="44"/>
  <c r="DA228" i="44" s="1"/>
  <c r="BI9" i="43"/>
  <c r="A61" i="44"/>
  <c r="DA215" i="44" s="1"/>
  <c r="BN12" i="43"/>
  <c r="A75" i="44"/>
  <c r="DA229" i="44" s="1"/>
  <c r="BN26" i="43"/>
  <c r="BI23" i="43"/>
  <c r="BI24" i="43"/>
  <c r="A76" i="44"/>
  <c r="DA230" i="44" s="1"/>
  <c r="BN27" i="43"/>
  <c r="AM23" i="46"/>
  <c r="AW29" i="46" s="1"/>
  <c r="AT29" i="46" s="1"/>
  <c r="AN23" i="46"/>
  <c r="AT51" i="43"/>
  <c r="AU51" i="43" s="1"/>
  <c r="AO85" i="50"/>
  <c r="AT85" i="50" s="1"/>
  <c r="AU30" i="50"/>
  <c r="AV30" i="50" s="1"/>
  <c r="AT62" i="43"/>
  <c r="AU62" i="43" s="1"/>
  <c r="AR46" i="43"/>
  <c r="AT64" i="43"/>
  <c r="AU64" i="43" s="1"/>
  <c r="AM59" i="40" l="1"/>
  <c r="AN59" i="40" s="1"/>
  <c r="AM65" i="40"/>
  <c r="AN65" i="40" s="1"/>
  <c r="AM66" i="40"/>
  <c r="AN66" i="40" s="1"/>
  <c r="AM67" i="40"/>
  <c r="AN67" i="40" s="1"/>
  <c r="AL46" i="40"/>
  <c r="AL20" i="40" s="1"/>
  <c r="AM63" i="40"/>
  <c r="AN63" i="40" s="1"/>
  <c r="AM62" i="40"/>
  <c r="AN62" i="40" s="1"/>
  <c r="AM61" i="40"/>
  <c r="AN61" i="40" s="1"/>
  <c r="AM64" i="40"/>
  <c r="AN64" i="40" s="1"/>
  <c r="AM58" i="40"/>
  <c r="AN58" i="40" s="1"/>
  <c r="AM60" i="40"/>
  <c r="AN60" i="40" s="1"/>
  <c r="AM54" i="40"/>
  <c r="AN54" i="40" s="1"/>
  <c r="AM50" i="40"/>
  <c r="AN50" i="40" s="1"/>
  <c r="AM52" i="40"/>
  <c r="AN52" i="40" s="1"/>
  <c r="AM56" i="40"/>
  <c r="AN56" i="40" s="1"/>
  <c r="AM55" i="40"/>
  <c r="AN55" i="40" s="1"/>
  <c r="AM51" i="40"/>
  <c r="AN51" i="40" s="1"/>
  <c r="AM53" i="40"/>
  <c r="AN53" i="40" s="1"/>
  <c r="AM57" i="40"/>
  <c r="AN57" i="40" s="1"/>
  <c r="AM49" i="40"/>
  <c r="AN49" i="40" s="1"/>
  <c r="BC23" i="40"/>
  <c r="BC25" i="40"/>
  <c r="BC24" i="40"/>
  <c r="BC29" i="40"/>
  <c r="BG7" i="40" s="1"/>
  <c r="BK51" i="40" s="1"/>
  <c r="T13" i="40" s="1"/>
  <c r="U13" i="40" s="1"/>
  <c r="DA214" i="37"/>
  <c r="BI8" i="37"/>
  <c r="A14" i="38"/>
  <c r="BN11" i="37"/>
  <c r="AN47" i="34"/>
  <c r="AO50" i="34"/>
  <c r="AP50" i="34" s="1"/>
  <c r="AO53" i="34"/>
  <c r="AP53" i="34" s="1"/>
  <c r="AO51" i="34"/>
  <c r="AP51" i="34" s="1"/>
  <c r="AO58" i="34"/>
  <c r="AP58" i="34" s="1"/>
  <c r="AO59" i="34"/>
  <c r="AP59" i="34" s="1"/>
  <c r="AO54" i="34"/>
  <c r="AP54" i="34" s="1"/>
  <c r="AO57" i="34"/>
  <c r="AP57" i="34" s="1"/>
  <c r="AO55" i="34"/>
  <c r="AP55" i="34" s="1"/>
  <c r="AO60" i="34"/>
  <c r="AP60" i="34" s="1"/>
  <c r="AO62" i="34"/>
  <c r="AP62" i="34" s="1"/>
  <c r="AO64" i="34"/>
  <c r="AP64" i="34" s="1"/>
  <c r="AN20" i="34"/>
  <c r="AO66" i="34"/>
  <c r="AP66" i="34" s="1"/>
  <c r="AO67" i="34"/>
  <c r="AP67" i="34" s="1"/>
  <c r="AO61" i="34"/>
  <c r="AP61" i="34" s="1"/>
  <c r="AO63" i="34"/>
  <c r="AP63" i="34" s="1"/>
  <c r="BC29" i="34"/>
  <c r="BC24" i="34"/>
  <c r="BC23" i="34"/>
  <c r="BC25" i="34"/>
  <c r="AO22" i="43"/>
  <c r="AR22" i="43"/>
  <c r="AR84" i="43" s="1"/>
  <c r="AW47" i="50"/>
  <c r="AW46" i="50" s="1"/>
  <c r="AL25" i="50" s="1"/>
  <c r="AN24" i="50"/>
  <c r="AM24" i="50"/>
  <c r="AW30" i="50" s="1"/>
  <c r="AT30" i="50" s="1"/>
  <c r="AT55" i="43"/>
  <c r="AU55" i="43" s="1"/>
  <c r="AT48" i="43"/>
  <c r="AU48" i="43" s="1"/>
  <c r="AT66" i="43"/>
  <c r="AU66" i="43" s="1"/>
  <c r="AT49" i="43"/>
  <c r="AU49" i="43" s="1"/>
  <c r="AT58" i="43"/>
  <c r="AU58" i="43" s="1"/>
  <c r="AT59" i="43"/>
  <c r="AU59" i="43" s="1"/>
  <c r="AT63" i="43"/>
  <c r="AU63" i="43" s="1"/>
  <c r="AT53" i="43"/>
  <c r="AU53" i="43" s="1"/>
  <c r="AT60" i="43"/>
  <c r="AU60" i="43" s="1"/>
  <c r="AT61" i="43"/>
  <c r="AU61" i="43" s="1"/>
  <c r="AT50" i="43"/>
  <c r="AU50" i="43" s="1"/>
  <c r="AT54" i="43"/>
  <c r="AU54" i="43" s="1"/>
  <c r="AT67" i="43"/>
  <c r="AU67" i="43" s="1"/>
  <c r="AM25" i="24"/>
  <c r="AW31" i="24" s="1"/>
  <c r="AN25" i="24"/>
  <c r="AQ24" i="24"/>
  <c r="AQ86" i="24" s="1"/>
  <c r="AO24" i="24"/>
  <c r="AR24" i="24"/>
  <c r="AR86" i="24" s="1"/>
  <c r="AR23" i="24"/>
  <c r="AR85" i="24" s="1"/>
  <c r="AT85" i="24" s="1"/>
  <c r="AW30" i="24"/>
  <c r="AT30" i="24" s="1"/>
  <c r="AV54" i="47"/>
  <c r="AW54" i="47" s="1"/>
  <c r="AV60" i="47"/>
  <c r="AW60" i="47" s="1"/>
  <c r="AV52" i="47"/>
  <c r="AW52" i="47" s="1"/>
  <c r="AV67" i="47"/>
  <c r="AW67" i="47" s="1"/>
  <c r="AU46" i="47"/>
  <c r="AL24" i="47" s="1"/>
  <c r="AM24" i="47" s="1"/>
  <c r="AW30" i="47" s="1"/>
  <c r="AT30" i="47" s="1"/>
  <c r="AV49" i="47"/>
  <c r="AW49" i="47" s="1"/>
  <c r="AV55" i="47"/>
  <c r="AW55" i="47" s="1"/>
  <c r="AV50" i="47"/>
  <c r="AW50" i="47" s="1"/>
  <c r="AV64" i="47"/>
  <c r="AW64" i="47" s="1"/>
  <c r="AV53" i="47"/>
  <c r="AW53" i="47" s="1"/>
  <c r="AV65" i="47"/>
  <c r="AW65" i="47" s="1"/>
  <c r="AV57" i="47"/>
  <c r="AW57" i="47" s="1"/>
  <c r="AV63" i="47"/>
  <c r="AW63" i="47" s="1"/>
  <c r="AV53" i="44"/>
  <c r="AW53" i="44" s="1"/>
  <c r="AV62" i="47"/>
  <c r="AW62" i="47" s="1"/>
  <c r="AV51" i="47"/>
  <c r="AW51" i="47" s="1"/>
  <c r="AV48" i="47"/>
  <c r="AW48" i="47" s="1"/>
  <c r="AV61" i="47"/>
  <c r="AW61" i="47" s="1"/>
  <c r="AV59" i="47"/>
  <c r="AW59" i="47" s="1"/>
  <c r="AV56" i="47"/>
  <c r="AW56" i="47" s="1"/>
  <c r="AV66" i="47"/>
  <c r="AW66" i="47" s="1"/>
  <c r="AV65" i="44"/>
  <c r="AW65" i="44" s="1"/>
  <c r="AR23" i="44"/>
  <c r="AR85" i="44" s="1"/>
  <c r="AO23" i="44"/>
  <c r="AV66" i="46"/>
  <c r="AW66" i="46" s="1"/>
  <c r="AV66" i="44"/>
  <c r="AW66" i="44" s="1"/>
  <c r="AV60" i="44"/>
  <c r="AW60" i="44" s="1"/>
  <c r="AV62" i="44"/>
  <c r="AW62" i="44" s="1"/>
  <c r="AV51" i="48"/>
  <c r="AW51" i="48" s="1"/>
  <c r="AQ23" i="47"/>
  <c r="AQ85" i="47" s="1"/>
  <c r="AR23" i="47"/>
  <c r="AR85" i="47" s="1"/>
  <c r="AO23" i="47"/>
  <c r="AV61" i="44"/>
  <c r="AW61" i="44" s="1"/>
  <c r="AQ23" i="49"/>
  <c r="AQ85" i="49" s="1"/>
  <c r="AO23" i="49"/>
  <c r="AO85" i="49" s="1"/>
  <c r="AV49" i="44"/>
  <c r="AW49" i="44" s="1"/>
  <c r="AV57" i="44"/>
  <c r="AW57" i="44" s="1"/>
  <c r="AV64" i="44"/>
  <c r="AW64" i="44" s="1"/>
  <c r="AV51" i="44"/>
  <c r="AW51" i="44" s="1"/>
  <c r="AV67" i="44"/>
  <c r="AW67" i="44" s="1"/>
  <c r="AR23" i="45"/>
  <c r="AR85" i="45" s="1"/>
  <c r="AV48" i="44"/>
  <c r="AW48" i="44" s="1"/>
  <c r="AV50" i="44"/>
  <c r="AW50" i="44" s="1"/>
  <c r="AV52" i="44"/>
  <c r="AW52" i="44" s="1"/>
  <c r="AV59" i="44"/>
  <c r="AW59" i="44" s="1"/>
  <c r="AU46" i="44"/>
  <c r="AL24" i="44" s="1"/>
  <c r="AN24" i="44" s="1"/>
  <c r="AV54" i="44"/>
  <c r="AW54" i="44" s="1"/>
  <c r="AV55" i="44"/>
  <c r="AW55" i="44" s="1"/>
  <c r="AV58" i="44"/>
  <c r="AW58" i="44" s="1"/>
  <c r="AV59" i="46"/>
  <c r="AW59" i="46" s="1"/>
  <c r="AV67" i="46"/>
  <c r="AW67" i="46" s="1"/>
  <c r="AV50" i="46"/>
  <c r="AW50" i="46" s="1"/>
  <c r="AV48" i="46"/>
  <c r="AW48" i="46" s="1"/>
  <c r="AV55" i="46"/>
  <c r="AW55" i="46" s="1"/>
  <c r="AV53" i="46"/>
  <c r="AW53" i="46" s="1"/>
  <c r="AV57" i="46"/>
  <c r="AW57" i="46" s="1"/>
  <c r="AV52" i="46"/>
  <c r="AW52" i="46" s="1"/>
  <c r="AV63" i="46"/>
  <c r="AW63" i="46" s="1"/>
  <c r="AV56" i="46"/>
  <c r="AW56" i="46" s="1"/>
  <c r="AV60" i="46"/>
  <c r="AW60" i="46" s="1"/>
  <c r="AV58" i="46"/>
  <c r="AW58" i="46" s="1"/>
  <c r="AV49" i="46"/>
  <c r="AW49" i="46" s="1"/>
  <c r="AU46" i="46"/>
  <c r="AL24" i="46" s="1"/>
  <c r="AN24" i="46" s="1"/>
  <c r="AV62" i="46"/>
  <c r="AW62" i="46" s="1"/>
  <c r="AV65" i="46"/>
  <c r="AW65" i="46" s="1"/>
  <c r="AV54" i="46"/>
  <c r="AW54" i="46" s="1"/>
  <c r="AV61" i="46"/>
  <c r="AW61" i="46" s="1"/>
  <c r="AV51" i="46"/>
  <c r="AW51" i="46" s="1"/>
  <c r="AV55" i="39"/>
  <c r="AW55" i="39" s="1"/>
  <c r="AU30" i="48"/>
  <c r="AV30" i="48" s="1"/>
  <c r="AU46" i="49"/>
  <c r="AL24" i="49" s="1"/>
  <c r="AV67" i="49"/>
  <c r="AW67" i="49" s="1"/>
  <c r="AV63" i="49"/>
  <c r="AW63" i="49" s="1"/>
  <c r="AV51" i="49"/>
  <c r="AW51" i="49" s="1"/>
  <c r="AV55" i="49"/>
  <c r="AW55" i="49" s="1"/>
  <c r="AV64" i="49"/>
  <c r="AW64" i="49" s="1"/>
  <c r="AV62" i="49"/>
  <c r="AW62" i="49" s="1"/>
  <c r="AV54" i="49"/>
  <c r="AW54" i="49" s="1"/>
  <c r="AV58" i="49"/>
  <c r="AW58" i="49" s="1"/>
  <c r="AV49" i="49"/>
  <c r="AW49" i="49" s="1"/>
  <c r="AV60" i="49"/>
  <c r="AW60" i="49" s="1"/>
  <c r="AV56" i="49"/>
  <c r="AW56" i="49" s="1"/>
  <c r="AV53" i="49"/>
  <c r="AW53" i="49" s="1"/>
  <c r="AV59" i="49"/>
  <c r="AW59" i="49" s="1"/>
  <c r="AV50" i="49"/>
  <c r="AW50" i="49" s="1"/>
  <c r="AV52" i="49"/>
  <c r="AW52" i="49" s="1"/>
  <c r="AV61" i="49"/>
  <c r="AW61" i="49" s="1"/>
  <c r="AV65" i="49"/>
  <c r="AW65" i="49" s="1"/>
  <c r="AV48" i="49"/>
  <c r="AW48" i="49" s="1"/>
  <c r="AV57" i="49"/>
  <c r="AW57" i="49" s="1"/>
  <c r="AV57" i="48"/>
  <c r="AW57" i="48" s="1"/>
  <c r="AV58" i="48"/>
  <c r="AW58" i="48" s="1"/>
  <c r="AV52" i="48"/>
  <c r="AW52" i="48" s="1"/>
  <c r="AV54" i="48"/>
  <c r="AW54" i="48" s="1"/>
  <c r="AV48" i="48"/>
  <c r="AW48" i="48" s="1"/>
  <c r="AV60" i="48"/>
  <c r="AW60" i="48" s="1"/>
  <c r="AV67" i="48"/>
  <c r="AW67" i="48" s="1"/>
  <c r="AU46" i="48"/>
  <c r="AL24" i="48" s="1"/>
  <c r="AM24" i="48" s="1"/>
  <c r="AW30" i="48" s="1"/>
  <c r="AT30" i="48" s="1"/>
  <c r="AV64" i="48"/>
  <c r="AW64" i="48" s="1"/>
  <c r="AV56" i="44"/>
  <c r="AW56" i="44" s="1"/>
  <c r="AV56" i="48"/>
  <c r="AW56" i="48" s="1"/>
  <c r="AV49" i="48"/>
  <c r="AW49" i="48" s="1"/>
  <c r="AV65" i="48"/>
  <c r="AW65" i="48" s="1"/>
  <c r="AV55" i="48"/>
  <c r="AW55" i="48" s="1"/>
  <c r="AV63" i="48"/>
  <c r="AW63" i="48" s="1"/>
  <c r="AV50" i="48"/>
  <c r="AW50" i="48" s="1"/>
  <c r="AT85" i="48"/>
  <c r="AV61" i="48"/>
  <c r="AW61" i="48" s="1"/>
  <c r="AV66" i="48"/>
  <c r="AW66" i="48" s="1"/>
  <c r="AV53" i="48"/>
  <c r="AW53" i="48" s="1"/>
  <c r="AV62" i="48"/>
  <c r="AW62" i="48" s="1"/>
  <c r="AV57" i="39"/>
  <c r="AW57" i="39" s="1"/>
  <c r="AV60" i="39"/>
  <c r="AW60" i="39" s="1"/>
  <c r="AV65" i="39"/>
  <c r="AW65" i="39" s="1"/>
  <c r="AV63" i="39"/>
  <c r="AW63" i="39" s="1"/>
  <c r="AV62" i="39"/>
  <c r="AW62" i="39" s="1"/>
  <c r="AV49" i="39"/>
  <c r="AW49" i="39" s="1"/>
  <c r="AV67" i="39"/>
  <c r="AW67" i="39" s="1"/>
  <c r="AV53" i="39"/>
  <c r="AW53" i="39" s="1"/>
  <c r="AV50" i="39"/>
  <c r="AW50" i="39" s="1"/>
  <c r="AV64" i="39"/>
  <c r="AW64" i="39" s="1"/>
  <c r="AV54" i="39"/>
  <c r="AW54" i="39" s="1"/>
  <c r="AO23" i="45"/>
  <c r="AU30" i="45" s="1"/>
  <c r="AV30" i="45" s="1"/>
  <c r="AV51" i="39"/>
  <c r="AW51" i="39" s="1"/>
  <c r="AV62" i="45"/>
  <c r="AW62" i="45" s="1"/>
  <c r="AV58" i="45"/>
  <c r="AW58" i="45" s="1"/>
  <c r="AV54" i="45"/>
  <c r="AW54" i="45" s="1"/>
  <c r="AV65" i="45"/>
  <c r="AW65" i="45" s="1"/>
  <c r="AU46" i="45"/>
  <c r="AL24" i="45" s="1"/>
  <c r="AV59" i="45"/>
  <c r="AW59" i="45" s="1"/>
  <c r="AV49" i="45"/>
  <c r="AW49" i="45" s="1"/>
  <c r="AV60" i="45"/>
  <c r="AW60" i="45" s="1"/>
  <c r="AV52" i="45"/>
  <c r="AW52" i="45" s="1"/>
  <c r="AV56" i="45"/>
  <c r="AW56" i="45" s="1"/>
  <c r="AV61" i="45"/>
  <c r="AW61" i="45" s="1"/>
  <c r="AV55" i="45"/>
  <c r="AW55" i="45" s="1"/>
  <c r="AV66" i="45"/>
  <c r="AW66" i="45" s="1"/>
  <c r="AV48" i="45"/>
  <c r="AW48" i="45" s="1"/>
  <c r="AV67" i="45"/>
  <c r="AW67" i="45" s="1"/>
  <c r="AV50" i="45"/>
  <c r="AW50" i="45" s="1"/>
  <c r="AV64" i="45"/>
  <c r="AW64" i="45" s="1"/>
  <c r="AV51" i="45"/>
  <c r="AW51" i="45" s="1"/>
  <c r="AV63" i="45"/>
  <c r="AW63" i="45" s="1"/>
  <c r="AV53" i="45"/>
  <c r="AW53" i="45" s="1"/>
  <c r="AN24" i="39"/>
  <c r="AM24" i="39"/>
  <c r="AW30" i="39" s="1"/>
  <c r="AT30" i="39" s="1"/>
  <c r="AV59" i="39"/>
  <c r="AW59" i="39" s="1"/>
  <c r="AR23" i="39"/>
  <c r="AR85" i="39" s="1"/>
  <c r="AO23" i="39"/>
  <c r="AQ23" i="39"/>
  <c r="AQ85" i="39" s="1"/>
  <c r="AV58" i="39"/>
  <c r="AW58" i="39" s="1"/>
  <c r="AV61" i="39"/>
  <c r="AW61" i="39" s="1"/>
  <c r="AV56" i="39"/>
  <c r="AW56" i="39" s="1"/>
  <c r="AV52" i="39"/>
  <c r="AW52" i="39" s="1"/>
  <c r="AV48" i="39"/>
  <c r="AW48" i="39" s="1"/>
  <c r="AV66" i="39"/>
  <c r="AW66" i="39" s="1"/>
  <c r="A11" i="44"/>
  <c r="A57" i="45"/>
  <c r="DA211" i="45" s="1"/>
  <c r="BI5" i="44"/>
  <c r="BN8" i="44"/>
  <c r="A76" i="45"/>
  <c r="DA230" i="45" s="1"/>
  <c r="A30" i="44"/>
  <c r="BI24" i="44"/>
  <c r="BN27" i="44"/>
  <c r="A29" i="44"/>
  <c r="BI23" i="44"/>
  <c r="BN26" i="44"/>
  <c r="A75" i="45"/>
  <c r="DA229" i="45" s="1"/>
  <c r="BI22" i="44"/>
  <c r="BN25" i="44"/>
  <c r="A74" i="45"/>
  <c r="DA228" i="45" s="1"/>
  <c r="A28" i="44"/>
  <c r="BN12" i="44"/>
  <c r="A15" i="44"/>
  <c r="BI9" i="44"/>
  <c r="A61" i="45"/>
  <c r="DA215" i="45" s="1"/>
  <c r="AL23" i="43"/>
  <c r="AO84" i="43"/>
  <c r="AT84" i="43" s="1"/>
  <c r="AU29" i="43"/>
  <c r="AV29" i="43" s="1"/>
  <c r="AQ23" i="46"/>
  <c r="AQ85" i="46" s="1"/>
  <c r="AO23" i="46"/>
  <c r="AR23" i="46"/>
  <c r="AR85" i="46" s="1"/>
  <c r="DF213" i="40" l="1"/>
  <c r="U13" i="49"/>
  <c r="U13" i="47"/>
  <c r="U13" i="48"/>
  <c r="U13" i="43"/>
  <c r="U13" i="41"/>
  <c r="U13" i="46"/>
  <c r="U13" i="45"/>
  <c r="U13" i="50"/>
  <c r="U13" i="44"/>
  <c r="DE213" i="40"/>
  <c r="T13" i="46"/>
  <c r="T13" i="43"/>
  <c r="T13" i="47"/>
  <c r="T13" i="45"/>
  <c r="T13" i="41"/>
  <c r="T13" i="49"/>
  <c r="T13" i="44"/>
  <c r="T13" i="50"/>
  <c r="T13" i="48"/>
  <c r="BG19" i="40"/>
  <c r="BK63" i="40" s="1"/>
  <c r="T25" i="40" s="1"/>
  <c r="U25" i="40" s="1"/>
  <c r="BG10" i="40"/>
  <c r="BK54" i="40" s="1"/>
  <c r="T16" i="40" s="1"/>
  <c r="U16" i="40" s="1"/>
  <c r="BG14" i="40"/>
  <c r="BK58" i="40" s="1"/>
  <c r="T20" i="40" s="1"/>
  <c r="U20" i="40" s="1"/>
  <c r="BG5" i="40"/>
  <c r="BG22" i="40"/>
  <c r="BK66" i="40" s="1"/>
  <c r="BG24" i="40"/>
  <c r="BK68" i="40" s="1"/>
  <c r="BG13" i="40"/>
  <c r="BK57" i="40" s="1"/>
  <c r="T19" i="40" s="1"/>
  <c r="U19" i="40" s="1"/>
  <c r="BG21" i="40"/>
  <c r="BK65" i="40" s="1"/>
  <c r="T27" i="40" s="1"/>
  <c r="U27" i="40" s="1"/>
  <c r="BG18" i="40"/>
  <c r="BK62" i="40" s="1"/>
  <c r="T24" i="40" s="1"/>
  <c r="U24" i="40" s="1"/>
  <c r="BG6" i="40"/>
  <c r="BK50" i="40" s="1"/>
  <c r="T12" i="40" s="1"/>
  <c r="U12" i="40" s="1"/>
  <c r="BG17" i="40"/>
  <c r="BK61" i="40" s="1"/>
  <c r="T23" i="40" s="1"/>
  <c r="U23" i="40" s="1"/>
  <c r="BG11" i="40"/>
  <c r="BK55" i="40" s="1"/>
  <c r="T17" i="40" s="1"/>
  <c r="U17" i="40" s="1"/>
  <c r="BG20" i="40"/>
  <c r="BK64" i="40" s="1"/>
  <c r="T26" i="40" s="1"/>
  <c r="U26" i="40" s="1"/>
  <c r="BG15" i="40"/>
  <c r="BK59" i="40" s="1"/>
  <c r="T21" i="40" s="1"/>
  <c r="U21" i="40" s="1"/>
  <c r="BG12" i="40"/>
  <c r="BK56" i="40" s="1"/>
  <c r="T18" i="40" s="1"/>
  <c r="U18" i="40" s="1"/>
  <c r="BG9" i="40"/>
  <c r="BK53" i="40" s="1"/>
  <c r="T15" i="40" s="1"/>
  <c r="U15" i="40" s="1"/>
  <c r="BG16" i="40"/>
  <c r="BK60" i="40" s="1"/>
  <c r="T22" i="40" s="1"/>
  <c r="U22" i="40" s="1"/>
  <c r="BG8" i="40"/>
  <c r="BK52" i="40" s="1"/>
  <c r="T14" i="40" s="1"/>
  <c r="U14" i="40" s="1"/>
  <c r="BG23" i="40"/>
  <c r="BK67" i="40" s="1"/>
  <c r="AN47" i="40"/>
  <c r="AO57" i="40"/>
  <c r="AP57" i="40" s="1"/>
  <c r="AO53" i="40"/>
  <c r="AP53" i="40" s="1"/>
  <c r="AO51" i="40"/>
  <c r="AP51" i="40" s="1"/>
  <c r="AO56" i="40"/>
  <c r="AP56" i="40" s="1"/>
  <c r="AO52" i="40"/>
  <c r="AP52" i="40" s="1"/>
  <c r="AO50" i="40"/>
  <c r="AP50" i="40" s="1"/>
  <c r="AO54" i="40"/>
  <c r="AP54" i="40" s="1"/>
  <c r="AO60" i="40"/>
  <c r="AP60" i="40" s="1"/>
  <c r="AO58" i="40"/>
  <c r="AP58" i="40" s="1"/>
  <c r="AO64" i="40"/>
  <c r="AP64" i="40" s="1"/>
  <c r="AO61" i="40"/>
  <c r="AP61" i="40" s="1"/>
  <c r="AO62" i="40"/>
  <c r="AP62" i="40" s="1"/>
  <c r="AO63" i="40"/>
  <c r="AP63" i="40" s="1"/>
  <c r="AN20" i="40"/>
  <c r="AO67" i="40"/>
  <c r="AP67" i="40" s="1"/>
  <c r="AO66" i="40"/>
  <c r="AP66" i="40" s="1"/>
  <c r="AO65" i="40"/>
  <c r="AP65" i="40" s="1"/>
  <c r="AO59" i="40"/>
  <c r="AP59" i="40" s="1"/>
  <c r="BG23" i="34"/>
  <c r="BK65" i="34" s="1"/>
  <c r="BG12" i="34"/>
  <c r="BK54" i="34" s="1"/>
  <c r="H18" i="34" s="1"/>
  <c r="I18" i="34" s="1"/>
  <c r="BG24" i="34"/>
  <c r="BK66" i="34" s="1"/>
  <c r="BG22" i="34"/>
  <c r="BK64" i="34" s="1"/>
  <c r="BG5" i="34"/>
  <c r="BG16" i="34"/>
  <c r="BK58" i="34" s="1"/>
  <c r="H22" i="34" s="1"/>
  <c r="I22" i="34" s="1"/>
  <c r="BG14" i="34"/>
  <c r="BK56" i="34" s="1"/>
  <c r="H20" i="34" s="1"/>
  <c r="I20" i="34" s="1"/>
  <c r="BG6" i="34"/>
  <c r="BK48" i="34" s="1"/>
  <c r="H12" i="34" s="1"/>
  <c r="I12" i="34" s="1"/>
  <c r="BG19" i="34"/>
  <c r="BK61" i="34" s="1"/>
  <c r="H25" i="34" s="1"/>
  <c r="I25" i="34" s="1"/>
  <c r="BG15" i="34"/>
  <c r="BK57" i="34" s="1"/>
  <c r="H21" i="34" s="1"/>
  <c r="I21" i="34" s="1"/>
  <c r="BG18" i="34"/>
  <c r="BK60" i="34" s="1"/>
  <c r="H24" i="34" s="1"/>
  <c r="I24" i="34" s="1"/>
  <c r="BG11" i="34"/>
  <c r="BK53" i="34" s="1"/>
  <c r="H17" i="34" s="1"/>
  <c r="I17" i="34" s="1"/>
  <c r="BG13" i="34"/>
  <c r="BK55" i="34" s="1"/>
  <c r="H19" i="34" s="1"/>
  <c r="I19" i="34" s="1"/>
  <c r="BG20" i="34"/>
  <c r="BK62" i="34" s="1"/>
  <c r="H26" i="34" s="1"/>
  <c r="I26" i="34" s="1"/>
  <c r="BG10" i="34"/>
  <c r="BK52" i="34" s="1"/>
  <c r="H16" i="34" s="1"/>
  <c r="I16" i="34" s="1"/>
  <c r="BG8" i="34"/>
  <c r="BK50" i="34" s="1"/>
  <c r="H14" i="34" s="1"/>
  <c r="I14" i="34" s="1"/>
  <c r="BG21" i="34"/>
  <c r="BK63" i="34" s="1"/>
  <c r="H27" i="34" s="1"/>
  <c r="I27" i="34" s="1"/>
  <c r="BG17" i="34"/>
  <c r="BK59" i="34" s="1"/>
  <c r="H23" i="34" s="1"/>
  <c r="I23" i="34" s="1"/>
  <c r="BG9" i="34"/>
  <c r="BK51" i="34" s="1"/>
  <c r="H15" i="34" s="1"/>
  <c r="I15" i="34" s="1"/>
  <c r="BG7" i="34"/>
  <c r="BK49" i="34" s="1"/>
  <c r="H13" i="34" s="1"/>
  <c r="I13" i="34" s="1"/>
  <c r="AQ20" i="34"/>
  <c r="AQ82" i="34" s="1"/>
  <c r="AO65" i="34"/>
  <c r="AP65" i="34" s="1"/>
  <c r="AN46" i="34"/>
  <c r="AL21" i="34" s="1"/>
  <c r="AO52" i="34"/>
  <c r="AP52" i="34" s="1"/>
  <c r="AO48" i="34"/>
  <c r="AP48" i="34" s="1"/>
  <c r="AO56" i="34"/>
  <c r="AP56" i="34" s="1"/>
  <c r="AO49" i="34"/>
  <c r="AP49" i="34" s="1"/>
  <c r="DA214" i="38"/>
  <c r="BI8" i="38"/>
  <c r="A14" i="39"/>
  <c r="BN11" i="38"/>
  <c r="AT31" i="24"/>
  <c r="AU47" i="43"/>
  <c r="AV48" i="43" s="1"/>
  <c r="AW48" i="43" s="1"/>
  <c r="AQ24" i="50"/>
  <c r="AQ86" i="50" s="1"/>
  <c r="AR24" i="50"/>
  <c r="AR86" i="50" s="1"/>
  <c r="AO24" i="50"/>
  <c r="AM25" i="50"/>
  <c r="AW31" i="50" s="1"/>
  <c r="AT31" i="50" s="1"/>
  <c r="AN25" i="50"/>
  <c r="AU31" i="24"/>
  <c r="AV31" i="24" s="1"/>
  <c r="AO86" i="24"/>
  <c r="AT86" i="24" s="1"/>
  <c r="AW32" i="24"/>
  <c r="AT32" i="24" s="1"/>
  <c r="AQ25" i="24"/>
  <c r="AQ87" i="24" s="1"/>
  <c r="AO25" i="24"/>
  <c r="AR25" i="24"/>
  <c r="AR87" i="24" s="1"/>
  <c r="AN24" i="47"/>
  <c r="AQ24" i="47" s="1"/>
  <c r="AQ86" i="47" s="1"/>
  <c r="AW47" i="47"/>
  <c r="AW46" i="47" s="1"/>
  <c r="AL25" i="47" s="1"/>
  <c r="AM25" i="47" s="1"/>
  <c r="AM24" i="44"/>
  <c r="AW30" i="44" s="1"/>
  <c r="AT30" i="44" s="1"/>
  <c r="AO85" i="44"/>
  <c r="AT85" i="44" s="1"/>
  <c r="AU30" i="44"/>
  <c r="AV30" i="44" s="1"/>
  <c r="AT85" i="49"/>
  <c r="AU30" i="49"/>
  <c r="AV30" i="49" s="1"/>
  <c r="AW47" i="44"/>
  <c r="AW46" i="44" s="1"/>
  <c r="AL25" i="44" s="1"/>
  <c r="AM25" i="44" s="1"/>
  <c r="AW31" i="44" s="1"/>
  <c r="AT31" i="44" s="1"/>
  <c r="AR24" i="47"/>
  <c r="AR86" i="47" s="1"/>
  <c r="AO85" i="47"/>
  <c r="AT85" i="47" s="1"/>
  <c r="AU30" i="47"/>
  <c r="AV30" i="47" s="1"/>
  <c r="AM24" i="46"/>
  <c r="AW30" i="46" s="1"/>
  <c r="AT30" i="46" s="1"/>
  <c r="AW47" i="46"/>
  <c r="AW46" i="46" s="1"/>
  <c r="AL25" i="46" s="1"/>
  <c r="AN25" i="46" s="1"/>
  <c r="AN24" i="48"/>
  <c r="AO24" i="48" s="1"/>
  <c r="AW47" i="49"/>
  <c r="AW46" i="49" s="1"/>
  <c r="AL25" i="49" s="1"/>
  <c r="AM24" i="49"/>
  <c r="AW30" i="49" s="1"/>
  <c r="AT30" i="49" s="1"/>
  <c r="AN24" i="49"/>
  <c r="AW47" i="48"/>
  <c r="AW46" i="48" s="1"/>
  <c r="AL25" i="48" s="1"/>
  <c r="AM25" i="48" s="1"/>
  <c r="AO85" i="45"/>
  <c r="AT85" i="45" s="1"/>
  <c r="AM24" i="45"/>
  <c r="AW30" i="45" s="1"/>
  <c r="AT30" i="45" s="1"/>
  <c r="AN24" i="45"/>
  <c r="AV61" i="43"/>
  <c r="AW61" i="43" s="1"/>
  <c r="AW47" i="45"/>
  <c r="AW46" i="45" s="1"/>
  <c r="AL25" i="45" s="1"/>
  <c r="AO85" i="39"/>
  <c r="AT85" i="39" s="1"/>
  <c r="AU30" i="39"/>
  <c r="AV30" i="39" s="1"/>
  <c r="AW47" i="39"/>
  <c r="AW46" i="39" s="1"/>
  <c r="AL25" i="39" s="1"/>
  <c r="AQ24" i="39"/>
  <c r="AQ86" i="39" s="1"/>
  <c r="AR24" i="39"/>
  <c r="AR86" i="39" s="1"/>
  <c r="AO24" i="39"/>
  <c r="AQ24" i="44"/>
  <c r="AQ86" i="44" s="1"/>
  <c r="AO24" i="44"/>
  <c r="AR24" i="44"/>
  <c r="AR86" i="44" s="1"/>
  <c r="AV55" i="43"/>
  <c r="AW55" i="43" s="1"/>
  <c r="AV51" i="43"/>
  <c r="AW51" i="43" s="1"/>
  <c r="AV64" i="43"/>
  <c r="AW64" i="43" s="1"/>
  <c r="AV66" i="43"/>
  <c r="AW66" i="43" s="1"/>
  <c r="BI24" i="45"/>
  <c r="A30" i="45"/>
  <c r="A76" i="46"/>
  <c r="DA230" i="46" s="1"/>
  <c r="BN27" i="45"/>
  <c r="A11" i="45"/>
  <c r="BI5" i="45"/>
  <c r="BN8" i="45"/>
  <c r="A57" i="46"/>
  <c r="DA211" i="46" s="1"/>
  <c r="A29" i="45"/>
  <c r="BN26" i="45"/>
  <c r="A75" i="46"/>
  <c r="DA229" i="46" s="1"/>
  <c r="BI23" i="45"/>
  <c r="BN12" i="45"/>
  <c r="A15" i="45"/>
  <c r="BI9" i="45"/>
  <c r="A61" i="46"/>
  <c r="DA215" i="46" s="1"/>
  <c r="A28" i="45"/>
  <c r="BI22" i="45"/>
  <c r="BN25" i="45"/>
  <c r="A74" i="46"/>
  <c r="DA228" i="46" s="1"/>
  <c r="AU46" i="43"/>
  <c r="AL24" i="43" s="1"/>
  <c r="AV63" i="43"/>
  <c r="AW63" i="43" s="1"/>
  <c r="AV65" i="43"/>
  <c r="AW65" i="43" s="1"/>
  <c r="AV60" i="43"/>
  <c r="AW60" i="43" s="1"/>
  <c r="AV54" i="43"/>
  <c r="AW54" i="43" s="1"/>
  <c r="AV53" i="43"/>
  <c r="AW53" i="43" s="1"/>
  <c r="AV56" i="43"/>
  <c r="AW56" i="43" s="1"/>
  <c r="AV50" i="43"/>
  <c r="AW50" i="43" s="1"/>
  <c r="AV67" i="43"/>
  <c r="AW67" i="43" s="1"/>
  <c r="AV52" i="43"/>
  <c r="AW52" i="43" s="1"/>
  <c r="AV57" i="43"/>
  <c r="AW57" i="43" s="1"/>
  <c r="AV58" i="43"/>
  <c r="AW58" i="43" s="1"/>
  <c r="AV59" i="43"/>
  <c r="AW59" i="43" s="1"/>
  <c r="AV49" i="43"/>
  <c r="AW49" i="43" s="1"/>
  <c r="AN23" i="43"/>
  <c r="AM23" i="43"/>
  <c r="AW29" i="43" s="1"/>
  <c r="AT29" i="43" s="1"/>
  <c r="AU30" i="46"/>
  <c r="AV30" i="46" s="1"/>
  <c r="AO85" i="46"/>
  <c r="AT85" i="46" s="1"/>
  <c r="AV62" i="43"/>
  <c r="AW62" i="43" s="1"/>
  <c r="AQ24" i="46"/>
  <c r="AQ86" i="46" s="1"/>
  <c r="AO24" i="46"/>
  <c r="AR24" i="46"/>
  <c r="AR86" i="46" s="1"/>
  <c r="DF214" i="40" l="1"/>
  <c r="U14" i="41"/>
  <c r="U14" i="44"/>
  <c r="U14" i="43"/>
  <c r="U14" i="47"/>
  <c r="U14" i="45"/>
  <c r="U14" i="48"/>
  <c r="U14" i="49"/>
  <c r="U14" i="50"/>
  <c r="U14" i="46"/>
  <c r="DF222" i="40"/>
  <c r="U22" i="49"/>
  <c r="U22" i="46"/>
  <c r="U22" i="41"/>
  <c r="AA25" i="41" s="1"/>
  <c r="U22" i="43"/>
  <c r="U22" i="50"/>
  <c r="U22" i="45"/>
  <c r="U22" i="44"/>
  <c r="U22" i="47"/>
  <c r="U22" i="48"/>
  <c r="DF215" i="40"/>
  <c r="U15" i="47"/>
  <c r="U15" i="50"/>
  <c r="U15" i="49"/>
  <c r="U15" i="43"/>
  <c r="U15" i="46"/>
  <c r="U15" i="48"/>
  <c r="U15" i="45"/>
  <c r="U15" i="44"/>
  <c r="U15" i="41"/>
  <c r="DF218" i="40"/>
  <c r="U18" i="41"/>
  <c r="U18" i="48"/>
  <c r="U18" i="50"/>
  <c r="U18" i="49"/>
  <c r="U18" i="47"/>
  <c r="U18" i="43"/>
  <c r="U18" i="44"/>
  <c r="U18" i="45"/>
  <c r="U18" i="46"/>
  <c r="DF221" i="40"/>
  <c r="U21" i="48"/>
  <c r="U21" i="45"/>
  <c r="U21" i="50"/>
  <c r="U21" i="43"/>
  <c r="U21" i="41"/>
  <c r="AA24" i="41" s="1"/>
  <c r="U21" i="44"/>
  <c r="U21" i="49"/>
  <c r="U21" i="46"/>
  <c r="U21" i="47"/>
  <c r="DF226" i="40"/>
  <c r="U26" i="50"/>
  <c r="U26" i="46"/>
  <c r="U26" i="48"/>
  <c r="U26" i="43"/>
  <c r="U26" i="44"/>
  <c r="U26" i="45"/>
  <c r="U26" i="41"/>
  <c r="AA29" i="41" s="1"/>
  <c r="U26" i="47"/>
  <c r="U26" i="49"/>
  <c r="DF217" i="40"/>
  <c r="U17" i="47"/>
  <c r="U17" i="50"/>
  <c r="U17" i="46"/>
  <c r="U17" i="44"/>
  <c r="U17" i="43"/>
  <c r="U17" i="49"/>
  <c r="U17" i="41"/>
  <c r="U17" i="45"/>
  <c r="U17" i="48"/>
  <c r="DF223" i="40"/>
  <c r="U23" i="43"/>
  <c r="U23" i="49"/>
  <c r="U23" i="41"/>
  <c r="AA26" i="41" s="1"/>
  <c r="U23" i="48"/>
  <c r="U23" i="47"/>
  <c r="U23" i="50"/>
  <c r="U23" i="46"/>
  <c r="U23" i="45"/>
  <c r="U23" i="44"/>
  <c r="DF212" i="40"/>
  <c r="U12" i="46"/>
  <c r="U12" i="41"/>
  <c r="U12" i="49"/>
  <c r="U12" i="43"/>
  <c r="U12" i="48"/>
  <c r="U12" i="47"/>
  <c r="U12" i="50"/>
  <c r="U12" i="44"/>
  <c r="U12" i="45"/>
  <c r="DF224" i="40"/>
  <c r="U24" i="41"/>
  <c r="AA27" i="41" s="1"/>
  <c r="U24" i="45"/>
  <c r="U24" i="50"/>
  <c r="U24" i="47"/>
  <c r="U24" i="44"/>
  <c r="U24" i="43"/>
  <c r="U24" i="46"/>
  <c r="U24" i="49"/>
  <c r="U24" i="48"/>
  <c r="DF227" i="40"/>
  <c r="U27" i="47"/>
  <c r="U27" i="45"/>
  <c r="U27" i="50"/>
  <c r="U27" i="41"/>
  <c r="AA30" i="41" s="1"/>
  <c r="U27" i="44"/>
  <c r="U27" i="48"/>
  <c r="U27" i="43"/>
  <c r="U27" i="46"/>
  <c r="U27" i="49"/>
  <c r="DF219" i="40"/>
  <c r="U19" i="47"/>
  <c r="U19" i="41"/>
  <c r="U19" i="45"/>
  <c r="U19" i="48"/>
  <c r="U19" i="50"/>
  <c r="U19" i="44"/>
  <c r="U19" i="43"/>
  <c r="U19" i="46"/>
  <c r="U19" i="49"/>
  <c r="DF220" i="40"/>
  <c r="U20" i="41"/>
  <c r="U20" i="48"/>
  <c r="U20" i="43"/>
  <c r="U20" i="47"/>
  <c r="U20" i="44"/>
  <c r="U20" i="49"/>
  <c r="U20" i="46"/>
  <c r="U20" i="50"/>
  <c r="U20" i="45"/>
  <c r="DF216" i="40"/>
  <c r="U16" i="49"/>
  <c r="U16" i="43"/>
  <c r="U16" i="45"/>
  <c r="U16" i="44"/>
  <c r="U16" i="46"/>
  <c r="U16" i="41"/>
  <c r="U16" i="50"/>
  <c r="U16" i="48"/>
  <c r="U16" i="47"/>
  <c r="DF225" i="40"/>
  <c r="U25" i="41"/>
  <c r="AA28" i="41" s="1"/>
  <c r="U25" i="44"/>
  <c r="U25" i="49"/>
  <c r="U25" i="48"/>
  <c r="U25" i="46"/>
  <c r="U25" i="43"/>
  <c r="U25" i="50"/>
  <c r="U25" i="45"/>
  <c r="U25" i="47"/>
  <c r="AA16" i="41"/>
  <c r="BJ7" i="41"/>
  <c r="AQ20" i="40"/>
  <c r="AQ82" i="40" s="1"/>
  <c r="AO55" i="40"/>
  <c r="AP55" i="40" s="1"/>
  <c r="AN46" i="40"/>
  <c r="AL21" i="40" s="1"/>
  <c r="AO48" i="40"/>
  <c r="AP48" i="40" s="1"/>
  <c r="AO49" i="40"/>
  <c r="AP49" i="40" s="1"/>
  <c r="T14" i="41"/>
  <c r="DE214" i="40"/>
  <c r="T14" i="46"/>
  <c r="T14" i="47"/>
  <c r="T14" i="49"/>
  <c r="T14" i="43"/>
  <c r="T14" i="44"/>
  <c r="T14" i="45"/>
  <c r="T14" i="50"/>
  <c r="T14" i="48"/>
  <c r="T22" i="41"/>
  <c r="DE222" i="40"/>
  <c r="T22" i="47"/>
  <c r="T22" i="50"/>
  <c r="T22" i="49"/>
  <c r="T22" i="45"/>
  <c r="T22" i="46"/>
  <c r="T22" i="48"/>
  <c r="T22" i="43"/>
  <c r="T22" i="44"/>
  <c r="T15" i="47"/>
  <c r="DE215" i="40"/>
  <c r="T15" i="41"/>
  <c r="T15" i="46"/>
  <c r="T15" i="44"/>
  <c r="T15" i="48"/>
  <c r="T15" i="45"/>
  <c r="T15" i="50"/>
  <c r="T15" i="43"/>
  <c r="T15" i="49"/>
  <c r="T18" i="49"/>
  <c r="DE218" i="40"/>
  <c r="T18" i="48"/>
  <c r="T18" i="46"/>
  <c r="T18" i="45"/>
  <c r="T18" i="41"/>
  <c r="T18" i="43"/>
  <c r="T18" i="44"/>
  <c r="T18" i="47"/>
  <c r="T18" i="50"/>
  <c r="T21" i="48"/>
  <c r="DE221" i="40"/>
  <c r="T21" i="44"/>
  <c r="T21" i="41"/>
  <c r="T21" i="50"/>
  <c r="T21" i="43"/>
  <c r="T21" i="49"/>
  <c r="T21" i="45"/>
  <c r="T21" i="47"/>
  <c r="T21" i="46"/>
  <c r="DE226" i="40"/>
  <c r="T26" i="50"/>
  <c r="T26" i="45"/>
  <c r="T26" i="43"/>
  <c r="T26" i="47"/>
  <c r="T26" i="44"/>
  <c r="T26" i="49"/>
  <c r="T26" i="46"/>
  <c r="T26" i="48"/>
  <c r="T26" i="41"/>
  <c r="T17" i="46"/>
  <c r="DE217" i="40"/>
  <c r="T17" i="45"/>
  <c r="T17" i="43"/>
  <c r="T17" i="44"/>
  <c r="T17" i="47"/>
  <c r="T17" i="50"/>
  <c r="T17" i="49"/>
  <c r="T17" i="48"/>
  <c r="T17" i="41"/>
  <c r="T23" i="46"/>
  <c r="T23" i="48"/>
  <c r="DE223" i="40"/>
  <c r="T23" i="50"/>
  <c r="T23" i="45"/>
  <c r="T23" i="47"/>
  <c r="T23" i="44"/>
  <c r="T23" i="49"/>
  <c r="T23" i="41"/>
  <c r="T23" i="43"/>
  <c r="T12" i="48"/>
  <c r="DE212" i="40"/>
  <c r="T12" i="46"/>
  <c r="T12" i="49"/>
  <c r="T12" i="43"/>
  <c r="T12" i="44"/>
  <c r="T12" i="45"/>
  <c r="T12" i="41"/>
  <c r="T12" i="47"/>
  <c r="T12" i="50"/>
  <c r="DE224" i="40"/>
  <c r="T24" i="47"/>
  <c r="T24" i="44"/>
  <c r="T24" i="43"/>
  <c r="T24" i="46"/>
  <c r="T24" i="41"/>
  <c r="T24" i="50"/>
  <c r="T24" i="48"/>
  <c r="T24" i="45"/>
  <c r="T24" i="49"/>
  <c r="DE227" i="40"/>
  <c r="T27" i="41"/>
  <c r="T27" i="44"/>
  <c r="T27" i="45"/>
  <c r="T27" i="47"/>
  <c r="T27" i="46"/>
  <c r="T27" i="50"/>
  <c r="T27" i="48"/>
  <c r="T27" i="49"/>
  <c r="T27" i="43"/>
  <c r="T19" i="41"/>
  <c r="DE219" i="40"/>
  <c r="T19" i="49"/>
  <c r="T19" i="45"/>
  <c r="T19" i="47"/>
  <c r="T19" i="44"/>
  <c r="T19" i="50"/>
  <c r="T19" i="43"/>
  <c r="T19" i="46"/>
  <c r="T19" i="48"/>
  <c r="BK49" i="40"/>
  <c r="T11" i="40" s="1"/>
  <c r="U11" i="40" s="1"/>
  <c r="BG25" i="40"/>
  <c r="BG27" i="40" s="1"/>
  <c r="BK70" i="40" s="1"/>
  <c r="T20" i="46"/>
  <c r="DE220" i="40"/>
  <c r="T20" i="48"/>
  <c r="T20" i="41"/>
  <c r="T20" i="44"/>
  <c r="T20" i="47"/>
  <c r="T20" i="43"/>
  <c r="T20" i="49"/>
  <c r="T20" i="50"/>
  <c r="T20" i="45"/>
  <c r="T16" i="44"/>
  <c r="DE216" i="40"/>
  <c r="T16" i="48"/>
  <c r="T16" i="43"/>
  <c r="T16" i="46"/>
  <c r="T16" i="45"/>
  <c r="T16" i="50"/>
  <c r="T16" i="41"/>
  <c r="T16" i="47"/>
  <c r="T16" i="49"/>
  <c r="T25" i="43"/>
  <c r="T25" i="48"/>
  <c r="T25" i="44"/>
  <c r="T25" i="46"/>
  <c r="T25" i="49"/>
  <c r="T25" i="45"/>
  <c r="T25" i="50"/>
  <c r="T25" i="41"/>
  <c r="DE225" i="40"/>
  <c r="T25" i="47"/>
  <c r="DF213" i="34"/>
  <c r="I13" i="35"/>
  <c r="I13" i="45"/>
  <c r="I13" i="46"/>
  <c r="I13" i="47"/>
  <c r="I13" i="40"/>
  <c r="I13" i="48"/>
  <c r="I13" i="39"/>
  <c r="I13" i="41"/>
  <c r="I13" i="36"/>
  <c r="I13" i="44"/>
  <c r="I13" i="50"/>
  <c r="I13" i="37"/>
  <c r="I13" i="43"/>
  <c r="I13" i="38"/>
  <c r="I13" i="49"/>
  <c r="A13" i="34"/>
  <c r="DF215" i="34"/>
  <c r="I15" i="36"/>
  <c r="I15" i="46"/>
  <c r="I15" i="39"/>
  <c r="I15" i="48"/>
  <c r="I15" i="40"/>
  <c r="I15" i="50"/>
  <c r="I15" i="41"/>
  <c r="I15" i="43"/>
  <c r="I15" i="37"/>
  <c r="I15" i="38"/>
  <c r="I15" i="45"/>
  <c r="I15" i="49"/>
  <c r="I15" i="44"/>
  <c r="I15" i="47"/>
  <c r="I15" i="35"/>
  <c r="I23" i="41"/>
  <c r="I23" i="38"/>
  <c r="I23" i="36"/>
  <c r="I23" i="46"/>
  <c r="I23" i="48"/>
  <c r="I23" i="39"/>
  <c r="I23" i="47"/>
  <c r="I23" i="44"/>
  <c r="I23" i="45"/>
  <c r="I23" i="49"/>
  <c r="I23" i="37"/>
  <c r="I23" i="40"/>
  <c r="I23" i="50"/>
  <c r="I23" i="35"/>
  <c r="AA26" i="35" s="1"/>
  <c r="DF223" i="34"/>
  <c r="I23" i="43"/>
  <c r="A23" i="34"/>
  <c r="DF227" i="34"/>
  <c r="I27" i="39"/>
  <c r="I27" i="43"/>
  <c r="I27" i="45"/>
  <c r="I27" i="44"/>
  <c r="I27" i="48"/>
  <c r="I27" i="47"/>
  <c r="I27" i="41"/>
  <c r="I27" i="46"/>
  <c r="I27" i="40"/>
  <c r="I27" i="50"/>
  <c r="I27" i="37"/>
  <c r="I27" i="36"/>
  <c r="I27" i="38"/>
  <c r="I27" i="35"/>
  <c r="AA30" i="35" s="1"/>
  <c r="I27" i="49"/>
  <c r="A27" i="34"/>
  <c r="DF214" i="34"/>
  <c r="I14" i="46"/>
  <c r="I14" i="44"/>
  <c r="I14" i="49"/>
  <c r="I14" i="43"/>
  <c r="I14" i="38"/>
  <c r="I14" i="47"/>
  <c r="I14" i="41"/>
  <c r="I14" i="48"/>
  <c r="I14" i="45"/>
  <c r="I14" i="36"/>
  <c r="I14" i="35"/>
  <c r="I14" i="50"/>
  <c r="I14" i="39"/>
  <c r="I14" i="37"/>
  <c r="I14" i="40"/>
  <c r="I16" i="40"/>
  <c r="I16" i="37"/>
  <c r="I16" i="41"/>
  <c r="DF216" i="34"/>
  <c r="I16" i="44"/>
  <c r="I16" i="50"/>
  <c r="I16" i="38"/>
  <c r="I16" i="45"/>
  <c r="I16" i="39"/>
  <c r="I16" i="48"/>
  <c r="I16" i="35"/>
  <c r="I16" i="43"/>
  <c r="I16" i="49"/>
  <c r="I16" i="47"/>
  <c r="I16" i="46"/>
  <c r="I16" i="36"/>
  <c r="A16" i="34"/>
  <c r="DF226" i="34"/>
  <c r="I26" i="37"/>
  <c r="I26" i="45"/>
  <c r="I26" i="38"/>
  <c r="I26" i="35"/>
  <c r="AA29" i="35" s="1"/>
  <c r="I26" i="50"/>
  <c r="I26" i="49"/>
  <c r="I26" i="41"/>
  <c r="I26" i="44"/>
  <c r="I26" i="46"/>
  <c r="I26" i="43"/>
  <c r="I26" i="48"/>
  <c r="I26" i="39"/>
  <c r="I26" i="47"/>
  <c r="I26" i="36"/>
  <c r="I26" i="40"/>
  <c r="A26" i="34"/>
  <c r="DF219" i="34"/>
  <c r="I19" i="35"/>
  <c r="I19" i="45"/>
  <c r="I19" i="48"/>
  <c r="I19" i="38"/>
  <c r="I19" i="40"/>
  <c r="I19" i="49"/>
  <c r="I19" i="36"/>
  <c r="I19" i="43"/>
  <c r="I19" i="44"/>
  <c r="I19" i="41"/>
  <c r="I19" i="47"/>
  <c r="I19" i="46"/>
  <c r="I19" i="37"/>
  <c r="I19" i="50"/>
  <c r="I19" i="39"/>
  <c r="A19" i="34"/>
  <c r="DF224" i="34"/>
  <c r="I24" i="45"/>
  <c r="I24" i="38"/>
  <c r="I24" i="39"/>
  <c r="I24" i="37"/>
  <c r="I24" i="44"/>
  <c r="I24" i="43"/>
  <c r="I24" i="46"/>
  <c r="I24" i="48"/>
  <c r="I24" i="40"/>
  <c r="I24" i="47"/>
  <c r="I24" i="49"/>
  <c r="I24" i="35"/>
  <c r="AA27" i="35" s="1"/>
  <c r="I24" i="50"/>
  <c r="I24" i="41"/>
  <c r="I24" i="36"/>
  <c r="A24" i="34"/>
  <c r="I21" i="41"/>
  <c r="DF221" i="34"/>
  <c r="I21" i="43"/>
  <c r="I21" i="35"/>
  <c r="AA24" i="35" s="1"/>
  <c r="I21" i="38"/>
  <c r="I21" i="48"/>
  <c r="I21" i="47"/>
  <c r="I21" i="39"/>
  <c r="I21" i="50"/>
  <c r="I21" i="37"/>
  <c r="I21" i="44"/>
  <c r="I21" i="49"/>
  <c r="I21" i="36"/>
  <c r="I21" i="46"/>
  <c r="I21" i="40"/>
  <c r="I21" i="45"/>
  <c r="A21" i="34"/>
  <c r="DF225" i="34"/>
  <c r="I25" i="35"/>
  <c r="AA28" i="35" s="1"/>
  <c r="I25" i="39"/>
  <c r="I25" i="44"/>
  <c r="I25" i="48"/>
  <c r="I25" i="43"/>
  <c r="I25" i="49"/>
  <c r="I25" i="40"/>
  <c r="I25" i="47"/>
  <c r="I25" i="41"/>
  <c r="I25" i="45"/>
  <c r="I25" i="46"/>
  <c r="I25" i="38"/>
  <c r="I25" i="36"/>
  <c r="I25" i="37"/>
  <c r="I25" i="50"/>
  <c r="A25" i="34"/>
  <c r="DF212" i="34"/>
  <c r="I12" i="35"/>
  <c r="I12" i="46"/>
  <c r="I12" i="41"/>
  <c r="I12" i="39"/>
  <c r="I12" i="43"/>
  <c r="I12" i="38"/>
  <c r="I12" i="45"/>
  <c r="I12" i="49"/>
  <c r="I12" i="40"/>
  <c r="I12" i="47"/>
  <c r="I12" i="36"/>
  <c r="I12" i="37"/>
  <c r="I12" i="50"/>
  <c r="I12" i="44"/>
  <c r="I12" i="48"/>
  <c r="A12" i="34"/>
  <c r="DF220" i="34"/>
  <c r="I20" i="50"/>
  <c r="I20" i="37"/>
  <c r="I20" i="39"/>
  <c r="I20" i="46"/>
  <c r="I20" i="45"/>
  <c r="I20" i="41"/>
  <c r="I20" i="47"/>
  <c r="I20" i="48"/>
  <c r="I20" i="43"/>
  <c r="I20" i="35"/>
  <c r="I20" i="44"/>
  <c r="I20" i="38"/>
  <c r="I20" i="36"/>
  <c r="I20" i="40"/>
  <c r="I20" i="49"/>
  <c r="A20" i="34"/>
  <c r="DF222" i="34"/>
  <c r="I22" i="50"/>
  <c r="I22" i="40"/>
  <c r="I22" i="39"/>
  <c r="I22" i="44"/>
  <c r="I22" i="35"/>
  <c r="AA25" i="35" s="1"/>
  <c r="I22" i="46"/>
  <c r="I22" i="49"/>
  <c r="I22" i="47"/>
  <c r="I22" i="37"/>
  <c r="I22" i="36"/>
  <c r="I22" i="43"/>
  <c r="I22" i="45"/>
  <c r="I22" i="38"/>
  <c r="I22" i="41"/>
  <c r="I22" i="48"/>
  <c r="A22" i="34"/>
  <c r="DF218" i="34"/>
  <c r="I18" i="44"/>
  <c r="I18" i="41"/>
  <c r="I18" i="40"/>
  <c r="I18" i="49"/>
  <c r="I18" i="36"/>
  <c r="I18" i="43"/>
  <c r="I18" i="45"/>
  <c r="I18" i="37"/>
  <c r="I18" i="39"/>
  <c r="I18" i="46"/>
  <c r="I18" i="50"/>
  <c r="I18" i="47"/>
  <c r="I18" i="38"/>
  <c r="I18" i="35"/>
  <c r="I18" i="48"/>
  <c r="A18" i="34"/>
  <c r="DF217" i="34"/>
  <c r="I17" i="47"/>
  <c r="I17" i="40"/>
  <c r="I17" i="36"/>
  <c r="I17" i="50"/>
  <c r="I17" i="45"/>
  <c r="I17" i="44"/>
  <c r="I17" i="37"/>
  <c r="I17" i="49"/>
  <c r="I17" i="38"/>
  <c r="I17" i="43"/>
  <c r="I17" i="39"/>
  <c r="I17" i="48"/>
  <c r="I17" i="41"/>
  <c r="I17" i="35"/>
  <c r="I17" i="46"/>
  <c r="A17" i="34"/>
  <c r="DA214" i="39"/>
  <c r="BI8" i="39"/>
  <c r="BN11" i="39"/>
  <c r="A14" i="40"/>
  <c r="AP47" i="34"/>
  <c r="AQ48" i="34"/>
  <c r="AR48" i="34" s="1"/>
  <c r="AM21" i="34"/>
  <c r="AN21" i="34"/>
  <c r="AO20" i="34"/>
  <c r="AQ65" i="34"/>
  <c r="AR65" i="34" s="1"/>
  <c r="DE213" i="34"/>
  <c r="H13" i="37"/>
  <c r="H13" i="36"/>
  <c r="H13" i="47"/>
  <c r="H13" i="48"/>
  <c r="H13" i="41"/>
  <c r="H13" i="50"/>
  <c r="H13" i="35"/>
  <c r="H13" i="38"/>
  <c r="H13" i="49"/>
  <c r="H13" i="46"/>
  <c r="H13" i="43"/>
  <c r="H13" i="45"/>
  <c r="H13" i="44"/>
  <c r="H13" i="39"/>
  <c r="H13" i="40"/>
  <c r="DE215" i="34"/>
  <c r="H15" i="46"/>
  <c r="H15" i="47"/>
  <c r="H15" i="48"/>
  <c r="H15" i="35"/>
  <c r="H15" i="36"/>
  <c r="H15" i="44"/>
  <c r="H15" i="50"/>
  <c r="H15" i="38"/>
  <c r="H15" i="45"/>
  <c r="H15" i="41"/>
  <c r="H15" i="43"/>
  <c r="H15" i="37"/>
  <c r="H15" i="39"/>
  <c r="H15" i="49"/>
  <c r="H15" i="40"/>
  <c r="DE223" i="34"/>
  <c r="H23" i="35"/>
  <c r="H23" i="48"/>
  <c r="H23" i="47"/>
  <c r="H23" i="49"/>
  <c r="H23" i="46"/>
  <c r="H23" i="45"/>
  <c r="H23" i="44"/>
  <c r="H23" i="50"/>
  <c r="H23" i="40"/>
  <c r="H23" i="39"/>
  <c r="H23" i="38"/>
  <c r="H23" i="36"/>
  <c r="H23" i="41"/>
  <c r="H23" i="37"/>
  <c r="H23" i="43"/>
  <c r="H27" i="36"/>
  <c r="H27" i="39"/>
  <c r="H27" i="49"/>
  <c r="H27" i="45"/>
  <c r="H27" i="43"/>
  <c r="H27" i="46"/>
  <c r="DE227" i="34"/>
  <c r="H27" i="44"/>
  <c r="H27" i="37"/>
  <c r="H27" i="35"/>
  <c r="H27" i="40"/>
  <c r="H27" i="50"/>
  <c r="H27" i="41"/>
  <c r="H27" i="38"/>
  <c r="H27" i="48"/>
  <c r="H27" i="47"/>
  <c r="DE214" i="34"/>
  <c r="H14" i="47"/>
  <c r="H14" i="44"/>
  <c r="H14" i="40"/>
  <c r="H14" i="37"/>
  <c r="H14" i="50"/>
  <c r="H14" i="38"/>
  <c r="H14" i="36"/>
  <c r="H14" i="41"/>
  <c r="H14" i="43"/>
  <c r="H14" i="48"/>
  <c r="H14" i="35"/>
  <c r="H14" i="46"/>
  <c r="H14" i="49"/>
  <c r="H14" i="45"/>
  <c r="H14" i="39"/>
  <c r="DE216" i="34"/>
  <c r="H16" i="35"/>
  <c r="H16" i="50"/>
  <c r="H16" i="45"/>
  <c r="H16" i="38"/>
  <c r="H16" i="46"/>
  <c r="H16" i="36"/>
  <c r="H16" i="48"/>
  <c r="H16" i="43"/>
  <c r="H16" i="39"/>
  <c r="H16" i="47"/>
  <c r="H16" i="49"/>
  <c r="H16" i="37"/>
  <c r="H16" i="41"/>
  <c r="H16" i="44"/>
  <c r="H16" i="40"/>
  <c r="H26" i="38"/>
  <c r="H26" i="43"/>
  <c r="DE226" i="34"/>
  <c r="H26" i="44"/>
  <c r="H26" i="46"/>
  <c r="H26" i="35"/>
  <c r="H26" i="36"/>
  <c r="H26" i="49"/>
  <c r="H26" i="37"/>
  <c r="H26" i="40"/>
  <c r="H26" i="39"/>
  <c r="H26" i="45"/>
  <c r="H26" i="47"/>
  <c r="H26" i="41"/>
  <c r="H26" i="48"/>
  <c r="H26" i="50"/>
  <c r="DE219" i="34"/>
  <c r="H19" i="35"/>
  <c r="H19" i="44"/>
  <c r="H19" i="40"/>
  <c r="H19" i="43"/>
  <c r="H19" i="37"/>
  <c r="H19" i="41"/>
  <c r="H19" i="50"/>
  <c r="H19" i="49"/>
  <c r="H19" i="38"/>
  <c r="H19" i="39"/>
  <c r="H19" i="48"/>
  <c r="H19" i="47"/>
  <c r="H19" i="45"/>
  <c r="H19" i="46"/>
  <c r="H19" i="36"/>
  <c r="DE217" i="34"/>
  <c r="H17" i="50"/>
  <c r="H17" i="45"/>
  <c r="H17" i="46"/>
  <c r="H17" i="43"/>
  <c r="H17" i="49"/>
  <c r="H17" i="44"/>
  <c r="H17" i="41"/>
  <c r="H17" i="37"/>
  <c r="H17" i="47"/>
  <c r="H17" i="35"/>
  <c r="H17" i="40"/>
  <c r="H17" i="39"/>
  <c r="H17" i="48"/>
  <c r="H17" i="38"/>
  <c r="H17" i="36"/>
  <c r="DE224" i="34"/>
  <c r="H24" i="39"/>
  <c r="H24" i="47"/>
  <c r="H24" i="48"/>
  <c r="H24" i="41"/>
  <c r="H24" i="44"/>
  <c r="H24" i="50"/>
  <c r="H24" i="40"/>
  <c r="H24" i="43"/>
  <c r="H24" i="49"/>
  <c r="H24" i="36"/>
  <c r="H24" i="35"/>
  <c r="H24" i="45"/>
  <c r="H24" i="37"/>
  <c r="H24" i="46"/>
  <c r="H24" i="38"/>
  <c r="DE221" i="34"/>
  <c r="H21" i="35"/>
  <c r="H21" i="49"/>
  <c r="H21" i="40"/>
  <c r="H21" i="41"/>
  <c r="H21" i="43"/>
  <c r="H21" i="36"/>
  <c r="H21" i="39"/>
  <c r="H21" i="46"/>
  <c r="H21" i="45"/>
  <c r="H21" i="44"/>
  <c r="H21" i="48"/>
  <c r="H21" i="38"/>
  <c r="H21" i="47"/>
  <c r="H21" i="37"/>
  <c r="H21" i="50"/>
  <c r="DE225" i="34"/>
  <c r="H25" i="38"/>
  <c r="H25" i="37"/>
  <c r="H25" i="46"/>
  <c r="H25" i="36"/>
  <c r="H25" i="45"/>
  <c r="H25" i="40"/>
  <c r="H25" i="41"/>
  <c r="H25" i="43"/>
  <c r="H25" i="49"/>
  <c r="H25" i="44"/>
  <c r="H25" i="47"/>
  <c r="H25" i="39"/>
  <c r="H25" i="50"/>
  <c r="H25" i="35"/>
  <c r="H25" i="48"/>
  <c r="DE212" i="34"/>
  <c r="H12" i="43"/>
  <c r="H12" i="41"/>
  <c r="H12" i="37"/>
  <c r="H12" i="44"/>
  <c r="H12" i="48"/>
  <c r="H12" i="39"/>
  <c r="H12" i="40"/>
  <c r="H12" i="45"/>
  <c r="H12" i="38"/>
  <c r="H12" i="50"/>
  <c r="H12" i="47"/>
  <c r="H12" i="36"/>
  <c r="H12" i="35"/>
  <c r="H12" i="49"/>
  <c r="H12" i="46"/>
  <c r="DE220" i="34"/>
  <c r="H20" i="39"/>
  <c r="H20" i="49"/>
  <c r="H20" i="41"/>
  <c r="H20" i="45"/>
  <c r="H20" i="50"/>
  <c r="H20" i="38"/>
  <c r="H20" i="48"/>
  <c r="H20" i="36"/>
  <c r="H20" i="40"/>
  <c r="H20" i="44"/>
  <c r="H20" i="35"/>
  <c r="H20" i="43"/>
  <c r="H20" i="47"/>
  <c r="H20" i="46"/>
  <c r="H20" i="37"/>
  <c r="DE222" i="34"/>
  <c r="H22" i="43"/>
  <c r="H22" i="47"/>
  <c r="H22" i="50"/>
  <c r="H22" i="49"/>
  <c r="H22" i="46"/>
  <c r="H22" i="45"/>
  <c r="H22" i="41"/>
  <c r="H22" i="38"/>
  <c r="H22" i="48"/>
  <c r="H22" i="40"/>
  <c r="H22" i="39"/>
  <c r="H22" i="36"/>
  <c r="H22" i="35"/>
  <c r="H22" i="44"/>
  <c r="H22" i="37"/>
  <c r="BK47" i="34"/>
  <c r="H11" i="34" s="1"/>
  <c r="I11" i="34" s="1"/>
  <c r="BG25" i="34"/>
  <c r="BG27" i="34" s="1"/>
  <c r="BK68" i="34" s="1"/>
  <c r="DE218" i="34"/>
  <c r="H18" i="41"/>
  <c r="H18" i="40"/>
  <c r="H18" i="48"/>
  <c r="H18" i="45"/>
  <c r="H18" i="43"/>
  <c r="H18" i="38"/>
  <c r="H18" i="50"/>
  <c r="H18" i="49"/>
  <c r="H18" i="39"/>
  <c r="H18" i="35"/>
  <c r="H18" i="47"/>
  <c r="H18" i="37"/>
  <c r="H18" i="46"/>
  <c r="H18" i="36"/>
  <c r="H18" i="44"/>
  <c r="AN25" i="44"/>
  <c r="AQ25" i="44" s="1"/>
  <c r="AQ87" i="44" s="1"/>
  <c r="AO86" i="50"/>
  <c r="AT86" i="50" s="1"/>
  <c r="AU31" i="50"/>
  <c r="AV31" i="50" s="1"/>
  <c r="AO25" i="50"/>
  <c r="AQ25" i="50"/>
  <c r="AQ87" i="50" s="1"/>
  <c r="AR25" i="50"/>
  <c r="AR87" i="50" s="1"/>
  <c r="AW32" i="50"/>
  <c r="AT32" i="50" s="1"/>
  <c r="AO24" i="47"/>
  <c r="AO86" i="47" s="1"/>
  <c r="AT86" i="47" s="1"/>
  <c r="AN25" i="47"/>
  <c r="AQ25" i="47" s="1"/>
  <c r="AQ87" i="47" s="1"/>
  <c r="AW31" i="47"/>
  <c r="AT31" i="47" s="1"/>
  <c r="AU32" i="24"/>
  <c r="AV32" i="24" s="1"/>
  <c r="AV26" i="24" s="1"/>
  <c r="AO87" i="24"/>
  <c r="AT87" i="24" s="1"/>
  <c r="AT89" i="24" s="1"/>
  <c r="AQ9" i="24" s="1"/>
  <c r="AR24" i="48"/>
  <c r="AR86" i="48" s="1"/>
  <c r="AQ24" i="48"/>
  <c r="AQ86" i="48" s="1"/>
  <c r="AW31" i="48"/>
  <c r="AT31" i="48" s="1"/>
  <c r="AU31" i="47"/>
  <c r="AV31" i="47" s="1"/>
  <c r="AM25" i="46"/>
  <c r="AW31" i="46" s="1"/>
  <c r="AT31" i="46" s="1"/>
  <c r="AN25" i="48"/>
  <c r="AQ25" i="48" s="1"/>
  <c r="AQ87" i="48" s="1"/>
  <c r="AN25" i="49"/>
  <c r="AQ25" i="49" s="1"/>
  <c r="AQ87" i="49" s="1"/>
  <c r="AO24" i="49"/>
  <c r="AQ24" i="49"/>
  <c r="AQ86" i="49" s="1"/>
  <c r="AR24" i="49"/>
  <c r="AR86" i="49" s="1"/>
  <c r="AM25" i="49"/>
  <c r="AW31" i="49" s="1"/>
  <c r="AT31" i="49" s="1"/>
  <c r="AU31" i="48"/>
  <c r="AV31" i="48" s="1"/>
  <c r="AO86" i="48"/>
  <c r="AN25" i="45"/>
  <c r="AM25" i="45"/>
  <c r="AW31" i="45" s="1"/>
  <c r="AT31" i="45" s="1"/>
  <c r="AQ24" i="45"/>
  <c r="AQ86" i="45" s="1"/>
  <c r="AO24" i="45"/>
  <c r="AR24" i="45"/>
  <c r="AR86" i="45" s="1"/>
  <c r="AM25" i="39"/>
  <c r="AW31" i="39" s="1"/>
  <c r="AT31" i="39" s="1"/>
  <c r="AN25" i="39"/>
  <c r="AU31" i="39"/>
  <c r="AV31" i="39" s="1"/>
  <c r="AO86" i="39"/>
  <c r="AT86" i="39" s="1"/>
  <c r="AU31" i="44"/>
  <c r="AV31" i="44" s="1"/>
  <c r="AO86" i="44"/>
  <c r="AT86" i="44" s="1"/>
  <c r="AW32" i="44"/>
  <c r="AT32" i="44" s="1"/>
  <c r="AR25" i="44"/>
  <c r="AR87" i="44" s="1"/>
  <c r="AO25" i="44"/>
  <c r="A75" i="47"/>
  <c r="DA229" i="47" s="1"/>
  <c r="BI23" i="46"/>
  <c r="BN26" i="46"/>
  <c r="A29" i="46"/>
  <c r="BI22" i="46"/>
  <c r="BN25" i="46"/>
  <c r="A74" i="47"/>
  <c r="DA228" i="47" s="1"/>
  <c r="A28" i="46"/>
  <c r="A15" i="46"/>
  <c r="A61" i="47"/>
  <c r="DA215" i="47" s="1"/>
  <c r="BI9" i="46"/>
  <c r="BN12" i="46"/>
  <c r="BI24" i="46"/>
  <c r="A30" i="46"/>
  <c r="A76" i="47"/>
  <c r="DA230" i="47" s="1"/>
  <c r="BN27" i="46"/>
  <c r="AW47" i="43"/>
  <c r="AW46" i="43" s="1"/>
  <c r="AL25" i="43" s="1"/>
  <c r="BN8" i="46"/>
  <c r="A11" i="46"/>
  <c r="BI5" i="46"/>
  <c r="A57" i="47"/>
  <c r="DA211" i="47" s="1"/>
  <c r="AM24" i="43"/>
  <c r="AW30" i="43" s="1"/>
  <c r="AT30" i="43" s="1"/>
  <c r="AN24" i="43"/>
  <c r="AO25" i="46"/>
  <c r="AW32" i="46"/>
  <c r="AQ25" i="46"/>
  <c r="AQ87" i="46" s="1"/>
  <c r="AR25" i="46"/>
  <c r="AR87" i="46" s="1"/>
  <c r="AO23" i="43"/>
  <c r="AQ23" i="43"/>
  <c r="AQ85" i="43" s="1"/>
  <c r="AR23" i="43"/>
  <c r="AR85" i="43" s="1"/>
  <c r="AU31" i="46"/>
  <c r="AV31" i="46" s="1"/>
  <c r="AO86" i="46"/>
  <c r="AT86" i="46" s="1"/>
  <c r="DF211" i="40" l="1"/>
  <c r="U32" i="40"/>
  <c r="U11" i="46"/>
  <c r="U11" i="49"/>
  <c r="U11" i="43"/>
  <c r="U11" i="48"/>
  <c r="U11" i="45"/>
  <c r="U11" i="47"/>
  <c r="U11" i="44"/>
  <c r="U11" i="50"/>
  <c r="U11" i="41"/>
  <c r="AE16" i="41"/>
  <c r="AF16" i="41" s="1"/>
  <c r="AG16" i="41" s="1"/>
  <c r="AC16" i="41"/>
  <c r="BO10" i="41"/>
  <c r="AK50" i="41"/>
  <c r="AL50" i="41" s="1"/>
  <c r="AE28" i="41"/>
  <c r="AF28" i="41" s="1"/>
  <c r="AG28" i="41" s="1"/>
  <c r="AK62" i="41"/>
  <c r="AL62" i="41" s="1"/>
  <c r="BO22" i="41"/>
  <c r="AC28" i="41"/>
  <c r="AA19" i="41"/>
  <c r="BJ10" i="41"/>
  <c r="AA23" i="41"/>
  <c r="BJ14" i="41"/>
  <c r="AA22" i="41"/>
  <c r="BJ13" i="41"/>
  <c r="AE30" i="41"/>
  <c r="AF30" i="41" s="1"/>
  <c r="AG30" i="41" s="1"/>
  <c r="AC30" i="41"/>
  <c r="AK64" i="41"/>
  <c r="AL64" i="41" s="1"/>
  <c r="BO24" i="41"/>
  <c r="AE27" i="41"/>
  <c r="AF27" i="41" s="1"/>
  <c r="AG27" i="41" s="1"/>
  <c r="AC27" i="41"/>
  <c r="BO21" i="41"/>
  <c r="AK61" i="41"/>
  <c r="AL61" i="41" s="1"/>
  <c r="AA15" i="41"/>
  <c r="BJ6" i="41"/>
  <c r="AE26" i="41"/>
  <c r="AF26" i="41" s="1"/>
  <c r="AG26" i="41" s="1"/>
  <c r="AC26" i="41"/>
  <c r="AK60" i="41"/>
  <c r="AL60" i="41" s="1"/>
  <c r="BO20" i="41"/>
  <c r="AA20" i="41"/>
  <c r="BJ11" i="41"/>
  <c r="AE29" i="41"/>
  <c r="AF29" i="41" s="1"/>
  <c r="AG29" i="41" s="1"/>
  <c r="AC29" i="41"/>
  <c r="AK63" i="41"/>
  <c r="AL63" i="41" s="1"/>
  <c r="BO23" i="41"/>
  <c r="AE24" i="41"/>
  <c r="AF24" i="41" s="1"/>
  <c r="AG24" i="41" s="1"/>
  <c r="AK58" i="41"/>
  <c r="AL58" i="41" s="1"/>
  <c r="BO18" i="41"/>
  <c r="AC24" i="41"/>
  <c r="AA21" i="41"/>
  <c r="BJ12" i="41"/>
  <c r="AA18" i="41"/>
  <c r="BJ9" i="41"/>
  <c r="AE25" i="41"/>
  <c r="AF25" i="41" s="1"/>
  <c r="AG25" i="41" s="1"/>
  <c r="BO19" i="41"/>
  <c r="AC25" i="41"/>
  <c r="AK59" i="41"/>
  <c r="AL59" i="41" s="1"/>
  <c r="AA17" i="41"/>
  <c r="BJ8" i="41"/>
  <c r="DE211" i="40"/>
  <c r="T11" i="45"/>
  <c r="T11" i="47"/>
  <c r="T11" i="44"/>
  <c r="T11" i="49"/>
  <c r="T11" i="41"/>
  <c r="T11" i="48"/>
  <c r="T11" i="46"/>
  <c r="T11" i="43"/>
  <c r="T11" i="50"/>
  <c r="AP47" i="40"/>
  <c r="AQ48" i="40"/>
  <c r="AR48" i="40" s="1"/>
  <c r="AN21" i="40"/>
  <c r="AM21" i="40"/>
  <c r="AO20" i="40"/>
  <c r="AQ55" i="40"/>
  <c r="AR55" i="40" s="1"/>
  <c r="DF211" i="34"/>
  <c r="I11" i="36"/>
  <c r="I11" i="45"/>
  <c r="I11" i="38"/>
  <c r="I11" i="44"/>
  <c r="I11" i="46"/>
  <c r="I11" i="40"/>
  <c r="I11" i="48"/>
  <c r="I11" i="49"/>
  <c r="I11" i="35"/>
  <c r="I11" i="37"/>
  <c r="I11" i="41"/>
  <c r="I11" i="50"/>
  <c r="I11" i="47"/>
  <c r="I11" i="39"/>
  <c r="I11" i="43"/>
  <c r="I32" i="34"/>
  <c r="DA218" i="34"/>
  <c r="BI12" i="34"/>
  <c r="BN15" i="34"/>
  <c r="AA21" i="35"/>
  <c r="BJ12" i="35"/>
  <c r="DA222" i="34"/>
  <c r="BN19" i="34"/>
  <c r="BI16" i="34"/>
  <c r="AE25" i="35"/>
  <c r="AF25" i="35" s="1"/>
  <c r="AG25" i="35" s="1"/>
  <c r="BO19" i="35"/>
  <c r="AK59" i="35"/>
  <c r="AL59" i="35" s="1"/>
  <c r="AC25" i="35"/>
  <c r="DA220" i="34"/>
  <c r="BN17" i="34"/>
  <c r="BI14" i="34"/>
  <c r="AA23" i="35"/>
  <c r="BJ14" i="35"/>
  <c r="DA212" i="34"/>
  <c r="BI6" i="34"/>
  <c r="BN9" i="34"/>
  <c r="AA15" i="35"/>
  <c r="BJ6" i="35"/>
  <c r="DA225" i="34"/>
  <c r="BI19" i="34"/>
  <c r="BN22" i="34"/>
  <c r="AE28" i="35"/>
  <c r="AF28" i="35" s="1"/>
  <c r="AG28" i="35" s="1"/>
  <c r="AC28" i="35"/>
  <c r="AK62" i="35"/>
  <c r="AL62" i="35" s="1"/>
  <c r="BO22" i="35"/>
  <c r="DA221" i="34"/>
  <c r="BN18" i="34"/>
  <c r="BI15" i="34"/>
  <c r="AK58" i="35"/>
  <c r="AL58" i="35" s="1"/>
  <c r="BO18" i="35"/>
  <c r="AC24" i="35"/>
  <c r="DA224" i="34"/>
  <c r="BN21" i="34"/>
  <c r="BI18" i="34"/>
  <c r="AE27" i="35"/>
  <c r="AF27" i="35" s="1"/>
  <c r="AG27" i="35" s="1"/>
  <c r="BO21" i="35"/>
  <c r="AK61" i="35"/>
  <c r="AL61" i="35" s="1"/>
  <c r="AC27" i="35"/>
  <c r="DA219" i="34"/>
  <c r="BI13" i="34"/>
  <c r="BN16" i="34"/>
  <c r="AA22" i="35"/>
  <c r="BJ13" i="35"/>
  <c r="DA226" i="34"/>
  <c r="BI20" i="34"/>
  <c r="BN23" i="34"/>
  <c r="AE29" i="35"/>
  <c r="AF29" i="35" s="1"/>
  <c r="AG29" i="35" s="1"/>
  <c r="BO23" i="35"/>
  <c r="AC29" i="35"/>
  <c r="AK63" i="35"/>
  <c r="AL63" i="35" s="1"/>
  <c r="DA216" i="34"/>
  <c r="BI10" i="34"/>
  <c r="BN13" i="34"/>
  <c r="AA19" i="35"/>
  <c r="BJ10" i="35"/>
  <c r="AA17" i="35"/>
  <c r="BJ8" i="35"/>
  <c r="DA227" i="34"/>
  <c r="BI21" i="34"/>
  <c r="BN24" i="34"/>
  <c r="AE30" i="35"/>
  <c r="AF30" i="35" s="1"/>
  <c r="AG30" i="35" s="1"/>
  <c r="BO24" i="35"/>
  <c r="AC30" i="35"/>
  <c r="AK64" i="35"/>
  <c r="AL64" i="35" s="1"/>
  <c r="DA223" i="34"/>
  <c r="BN20" i="34"/>
  <c r="BI17" i="34"/>
  <c r="AC26" i="35"/>
  <c r="AK60" i="35"/>
  <c r="AL60" i="35" s="1"/>
  <c r="BO20" i="35"/>
  <c r="AA18" i="35"/>
  <c r="BJ9" i="35"/>
  <c r="DA213" i="34"/>
  <c r="BI7" i="34"/>
  <c r="BN10" i="34"/>
  <c r="AA16" i="35"/>
  <c r="BJ7" i="35"/>
  <c r="DA217" i="34"/>
  <c r="BN14" i="34"/>
  <c r="A17" i="35"/>
  <c r="BI11" i="34"/>
  <c r="DF232" i="34"/>
  <c r="I32" i="50"/>
  <c r="I33" i="50" s="1"/>
  <c r="I32" i="45"/>
  <c r="I33" i="45" s="1"/>
  <c r="I32" i="40"/>
  <c r="I33" i="40" s="1"/>
  <c r="I32" i="46"/>
  <c r="I33" i="46" s="1"/>
  <c r="I32" i="38"/>
  <c r="I33" i="38" s="1"/>
  <c r="I32" i="35"/>
  <c r="I33" i="35" s="1"/>
  <c r="I32" i="37"/>
  <c r="I33" i="37" s="1"/>
  <c r="I32" i="47"/>
  <c r="I33" i="47" s="1"/>
  <c r="I32" i="48"/>
  <c r="I33" i="48" s="1"/>
  <c r="I32" i="43"/>
  <c r="I33" i="43" s="1"/>
  <c r="I32" i="36"/>
  <c r="I33" i="36" s="1"/>
  <c r="I33" i="34"/>
  <c r="U4" i="34" s="1"/>
  <c r="I32" i="41"/>
  <c r="I33" i="41" s="1"/>
  <c r="I32" i="44"/>
  <c r="I33" i="44" s="1"/>
  <c r="I32" i="39"/>
  <c r="I33" i="39" s="1"/>
  <c r="I32" i="49"/>
  <c r="I33" i="49" s="1"/>
  <c r="AA20" i="35"/>
  <c r="BJ11" i="35"/>
  <c r="DE211" i="34"/>
  <c r="H11" i="37"/>
  <c r="H11" i="36"/>
  <c r="H11" i="50"/>
  <c r="H11" i="48"/>
  <c r="H11" i="41"/>
  <c r="H11" i="38"/>
  <c r="H11" i="35"/>
  <c r="H11" i="40"/>
  <c r="H11" i="39"/>
  <c r="H11" i="46"/>
  <c r="H11" i="45"/>
  <c r="H11" i="44"/>
  <c r="H11" i="43"/>
  <c r="H11" i="47"/>
  <c r="H11" i="49"/>
  <c r="AO82" i="34"/>
  <c r="AU27" i="34"/>
  <c r="AV27" i="34" s="1"/>
  <c r="AQ21" i="34"/>
  <c r="AQ83" i="34" s="1"/>
  <c r="AQ6" i="34"/>
  <c r="AR20" i="34"/>
  <c r="AR82" i="34" s="1"/>
  <c r="AW27" i="34"/>
  <c r="AT27" i="34" s="1"/>
  <c r="AQ52" i="34"/>
  <c r="AR52" i="34" s="1"/>
  <c r="AP46" i="34"/>
  <c r="AL22" i="34" s="1"/>
  <c r="AQ63" i="34"/>
  <c r="AR63" i="34" s="1"/>
  <c r="AQ61" i="34"/>
  <c r="AR61" i="34" s="1"/>
  <c r="AQ67" i="34"/>
  <c r="AR67" i="34" s="1"/>
  <c r="AQ66" i="34"/>
  <c r="AR66" i="34" s="1"/>
  <c r="AQ64" i="34"/>
  <c r="AR64" i="34" s="1"/>
  <c r="AQ62" i="34"/>
  <c r="AR62" i="34" s="1"/>
  <c r="AQ60" i="34"/>
  <c r="AR60" i="34" s="1"/>
  <c r="AQ55" i="34"/>
  <c r="AR55" i="34" s="1"/>
  <c r="AQ57" i="34"/>
  <c r="AR57" i="34" s="1"/>
  <c r="AQ54" i="34"/>
  <c r="AR54" i="34" s="1"/>
  <c r="AQ59" i="34"/>
  <c r="AR59" i="34" s="1"/>
  <c r="AQ58" i="34"/>
  <c r="AR58" i="34" s="1"/>
  <c r="AQ51" i="34"/>
  <c r="AR51" i="34" s="1"/>
  <c r="AQ53" i="34"/>
  <c r="AR53" i="34" s="1"/>
  <c r="AQ50" i="34"/>
  <c r="AR50" i="34" s="1"/>
  <c r="AQ49" i="34"/>
  <c r="AR49" i="34" s="1"/>
  <c r="AQ56" i="34"/>
  <c r="AR56" i="34" s="1"/>
  <c r="DA214" i="40"/>
  <c r="BI8" i="40"/>
  <c r="BN11" i="40"/>
  <c r="A14" i="41"/>
  <c r="AR25" i="47"/>
  <c r="AR87" i="47" s="1"/>
  <c r="AO25" i="47"/>
  <c r="AU32" i="47" s="1"/>
  <c r="AV32" i="47" s="1"/>
  <c r="AV26" i="47" s="1"/>
  <c r="AW32" i="47"/>
  <c r="AT32" i="47"/>
  <c r="AU32" i="50"/>
  <c r="AV32" i="50" s="1"/>
  <c r="AV26" i="50" s="1"/>
  <c r="AO87" i="50"/>
  <c r="AT87" i="50" s="1"/>
  <c r="AT89" i="50" s="1"/>
  <c r="AQ9" i="50" s="1"/>
  <c r="AT86" i="48"/>
  <c r="AT32" i="46"/>
  <c r="AW32" i="48"/>
  <c r="AT32" i="48" s="1"/>
  <c r="AO25" i="48"/>
  <c r="AU32" i="48" s="1"/>
  <c r="AV32" i="48" s="1"/>
  <c r="AV26" i="48" s="1"/>
  <c r="AR25" i="48"/>
  <c r="AR87" i="48" s="1"/>
  <c r="AR25" i="49"/>
  <c r="AR87" i="49" s="1"/>
  <c r="AW32" i="49"/>
  <c r="AT32" i="49" s="1"/>
  <c r="AO25" i="49"/>
  <c r="AU32" i="49" s="1"/>
  <c r="AO86" i="49"/>
  <c r="AT86" i="49" s="1"/>
  <c r="AU31" i="49"/>
  <c r="AV31" i="49" s="1"/>
  <c r="AU31" i="45"/>
  <c r="AV31" i="45" s="1"/>
  <c r="AO86" i="45"/>
  <c r="AT86" i="45" s="1"/>
  <c r="AQ25" i="45"/>
  <c r="AQ87" i="45" s="1"/>
  <c r="AR25" i="45"/>
  <c r="AR87" i="45" s="1"/>
  <c r="AW32" i="45"/>
  <c r="AT32" i="45" s="1"/>
  <c r="AO25" i="45"/>
  <c r="AR25" i="39"/>
  <c r="AR87" i="39" s="1"/>
  <c r="AW32" i="39"/>
  <c r="AT32" i="39" s="1"/>
  <c r="AO25" i="39"/>
  <c r="AQ25" i="39"/>
  <c r="AQ87" i="39" s="1"/>
  <c r="AO87" i="44"/>
  <c r="AT87" i="44" s="1"/>
  <c r="AT89" i="44" s="1"/>
  <c r="AQ9" i="44" s="1"/>
  <c r="AU32" i="44"/>
  <c r="AV32" i="44" s="1"/>
  <c r="AV26" i="44" s="1"/>
  <c r="A57" i="48"/>
  <c r="DA211" i="48" s="1"/>
  <c r="A11" i="47"/>
  <c r="BI5" i="47"/>
  <c r="BN8" i="47"/>
  <c r="A30" i="47"/>
  <c r="BN27" i="47"/>
  <c r="BI24" i="47"/>
  <c r="A76" i="48"/>
  <c r="DA230" i="48" s="1"/>
  <c r="BI22" i="47"/>
  <c r="A74" i="48"/>
  <c r="DA228" i="48" s="1"/>
  <c r="BN25" i="47"/>
  <c r="A28" i="47"/>
  <c r="A61" i="48"/>
  <c r="DA215" i="48" s="1"/>
  <c r="A15" i="47"/>
  <c r="BI9" i="47"/>
  <c r="BN12" i="47"/>
  <c r="BN26" i="47"/>
  <c r="A29" i="47"/>
  <c r="A75" i="48"/>
  <c r="DA229" i="48" s="1"/>
  <c r="BI23" i="47"/>
  <c r="AM25" i="43"/>
  <c r="AW31" i="43" s="1"/>
  <c r="AT31" i="43" s="1"/>
  <c r="AN25" i="43"/>
  <c r="AU30" i="43"/>
  <c r="AV30" i="43" s="1"/>
  <c r="AO85" i="43"/>
  <c r="AT85" i="43" s="1"/>
  <c r="AO87" i="46"/>
  <c r="AT87" i="46" s="1"/>
  <c r="AT89" i="46" s="1"/>
  <c r="AQ9" i="46" s="1"/>
  <c r="AU32" i="46"/>
  <c r="AV32" i="46" s="1"/>
  <c r="AV26" i="46" s="1"/>
  <c r="AO24" i="43"/>
  <c r="AR24" i="43"/>
  <c r="AR86" i="43" s="1"/>
  <c r="AQ24" i="43"/>
  <c r="AQ86" i="43" s="1"/>
  <c r="AE17" i="41" l="1"/>
  <c r="AK51" i="41"/>
  <c r="AL51" i="41" s="1"/>
  <c r="AC17" i="41"/>
  <c r="AF17" i="41" s="1"/>
  <c r="AG17" i="41" s="1"/>
  <c r="BO11" i="41"/>
  <c r="AE18" i="41"/>
  <c r="AK52" i="41"/>
  <c r="AL52" i="41" s="1"/>
  <c r="BO12" i="41"/>
  <c r="AC18" i="41"/>
  <c r="AF18" i="41" s="1"/>
  <c r="AG18" i="41" s="1"/>
  <c r="AE21" i="41"/>
  <c r="AF21" i="41" s="1"/>
  <c r="AG21" i="41" s="1"/>
  <c r="AC21" i="41"/>
  <c r="BO15" i="41"/>
  <c r="AK55" i="41"/>
  <c r="AL55" i="41" s="1"/>
  <c r="AE20" i="41"/>
  <c r="AF20" i="41" s="1"/>
  <c r="AG20" i="41" s="1"/>
  <c r="BO14" i="41"/>
  <c r="AC20" i="41"/>
  <c r="AK54" i="41"/>
  <c r="AL54" i="41" s="1"/>
  <c r="AE15" i="41"/>
  <c r="AF15" i="41" s="1"/>
  <c r="AG15" i="41" s="1"/>
  <c r="BO9" i="41"/>
  <c r="AK49" i="41"/>
  <c r="AL49" i="41" s="1"/>
  <c r="AC15" i="41"/>
  <c r="AE22" i="41"/>
  <c r="AF22" i="41" s="1"/>
  <c r="AG22" i="41" s="1"/>
  <c r="AK56" i="41"/>
  <c r="AL56" i="41" s="1"/>
  <c r="AC22" i="41"/>
  <c r="BO16" i="41"/>
  <c r="AE23" i="41"/>
  <c r="AF23" i="41" s="1"/>
  <c r="AG23" i="41" s="1"/>
  <c r="AC23" i="41"/>
  <c r="AK57" i="41"/>
  <c r="AL57" i="41" s="1"/>
  <c r="BO17" i="41"/>
  <c r="AE19" i="41"/>
  <c r="BO13" i="41"/>
  <c r="AK53" i="41"/>
  <c r="AL53" i="41" s="1"/>
  <c r="AC19" i="41"/>
  <c r="AF19" i="41" s="1"/>
  <c r="AG19" i="41" s="1"/>
  <c r="AA14" i="41"/>
  <c r="BJ5" i="41"/>
  <c r="DF232" i="40"/>
  <c r="U32" i="49"/>
  <c r="U33" i="49" s="1"/>
  <c r="U4" i="49" s="1"/>
  <c r="U32" i="50"/>
  <c r="U33" i="50" s="1"/>
  <c r="U32" i="44"/>
  <c r="U33" i="44" s="1"/>
  <c r="U32" i="43"/>
  <c r="U33" i="43" s="1"/>
  <c r="U32" i="47"/>
  <c r="U33" i="47" s="1"/>
  <c r="U32" i="48"/>
  <c r="U33" i="48" s="1"/>
  <c r="U32" i="41"/>
  <c r="U33" i="41" s="1"/>
  <c r="U33" i="40"/>
  <c r="U4" i="40" s="1"/>
  <c r="U32" i="46"/>
  <c r="U33" i="46" s="1"/>
  <c r="U32" i="45"/>
  <c r="U33" i="45" s="1"/>
  <c r="AO82" i="40"/>
  <c r="AU27" i="40"/>
  <c r="AV27" i="40" s="1"/>
  <c r="AQ6" i="40"/>
  <c r="AR20" i="40"/>
  <c r="AR82" i="40" s="1"/>
  <c r="AW27" i="40"/>
  <c r="AT27" i="40" s="1"/>
  <c r="AQ21" i="40"/>
  <c r="AQ83" i="40" s="1"/>
  <c r="AO21" i="40"/>
  <c r="AR21" i="40"/>
  <c r="AR83" i="40" s="1"/>
  <c r="AQ59" i="40"/>
  <c r="AR59" i="40" s="1"/>
  <c r="AP46" i="40"/>
  <c r="AL22" i="40" s="1"/>
  <c r="AQ65" i="40"/>
  <c r="AR65" i="40" s="1"/>
  <c r="AQ66" i="40"/>
  <c r="AR66" i="40" s="1"/>
  <c r="AQ67" i="40"/>
  <c r="AR67" i="40" s="1"/>
  <c r="AQ63" i="40"/>
  <c r="AR63" i="40" s="1"/>
  <c r="AQ62" i="40"/>
  <c r="AR62" i="40" s="1"/>
  <c r="AQ61" i="40"/>
  <c r="AR61" i="40" s="1"/>
  <c r="AQ64" i="40"/>
  <c r="AR64" i="40" s="1"/>
  <c r="AQ58" i="40"/>
  <c r="AR58" i="40" s="1"/>
  <c r="AQ60" i="40"/>
  <c r="AR60" i="40" s="1"/>
  <c r="AQ54" i="40"/>
  <c r="AR54" i="40" s="1"/>
  <c r="AQ50" i="40"/>
  <c r="AR50" i="40" s="1"/>
  <c r="AQ52" i="40"/>
  <c r="AR52" i="40" s="1"/>
  <c r="AQ56" i="40"/>
  <c r="AR56" i="40" s="1"/>
  <c r="AQ51" i="40"/>
  <c r="AR51" i="40" s="1"/>
  <c r="AQ53" i="40"/>
  <c r="AR53" i="40" s="1"/>
  <c r="AQ57" i="40"/>
  <c r="AR57" i="40" s="1"/>
  <c r="AQ49" i="40"/>
  <c r="AR49" i="40" s="1"/>
  <c r="AE16" i="35"/>
  <c r="AF16" i="35" s="1"/>
  <c r="AG16" i="35" s="1"/>
  <c r="AK50" i="35"/>
  <c r="AL50" i="35" s="1"/>
  <c r="AC16" i="35"/>
  <c r="BO10" i="35"/>
  <c r="AE18" i="35"/>
  <c r="AK52" i="35"/>
  <c r="AL52" i="35" s="1"/>
  <c r="AC18" i="35"/>
  <c r="AF18" i="35" s="1"/>
  <c r="AG18" i="35" s="1"/>
  <c r="BO12" i="35"/>
  <c r="AE17" i="35"/>
  <c r="AK51" i="35"/>
  <c r="AL51" i="35" s="1"/>
  <c r="BO11" i="35"/>
  <c r="AC17" i="35"/>
  <c r="AC19" i="35"/>
  <c r="AE19" i="35"/>
  <c r="AF19" i="35" s="1"/>
  <c r="AG19" i="35" s="1"/>
  <c r="BO13" i="35"/>
  <c r="AK53" i="35"/>
  <c r="AL53" i="35" s="1"/>
  <c r="AK56" i="35"/>
  <c r="AL56" i="35" s="1"/>
  <c r="AC22" i="35"/>
  <c r="BO16" i="35"/>
  <c r="AE22" i="35"/>
  <c r="AF22" i="35" s="1"/>
  <c r="AG22" i="35" s="1"/>
  <c r="AK49" i="35"/>
  <c r="AL49" i="35" s="1"/>
  <c r="AC15" i="35"/>
  <c r="AE15" i="35"/>
  <c r="AF15" i="35" s="1"/>
  <c r="AG15" i="35" s="1"/>
  <c r="BO9" i="35"/>
  <c r="AE23" i="35"/>
  <c r="AF23" i="35" s="1"/>
  <c r="AG23" i="35" s="1"/>
  <c r="AC23" i="35"/>
  <c r="AK57" i="35"/>
  <c r="AL57" i="35" s="1"/>
  <c r="BO17" i="35"/>
  <c r="AE21" i="35"/>
  <c r="AF21" i="35" s="1"/>
  <c r="AG21" i="35" s="1"/>
  <c r="AK55" i="35"/>
  <c r="AL55" i="35" s="1"/>
  <c r="AC21" i="35"/>
  <c r="BO15" i="35"/>
  <c r="AA14" i="35"/>
  <c r="BJ5" i="35"/>
  <c r="AE20" i="35"/>
  <c r="AF20" i="35" s="1"/>
  <c r="AK54" i="35"/>
  <c r="AL54" i="35" s="1"/>
  <c r="AC20" i="35"/>
  <c r="BO14" i="35"/>
  <c r="DA217" i="35"/>
  <c r="BN14" i="35"/>
  <c r="BI11" i="35"/>
  <c r="A17" i="36"/>
  <c r="DA214" i="41"/>
  <c r="BN11" i="41"/>
  <c r="BI8" i="41"/>
  <c r="A60" i="43"/>
  <c r="AR47" i="34"/>
  <c r="AT48" i="34"/>
  <c r="AU48" i="34" s="1"/>
  <c r="AT51" i="34"/>
  <c r="AU51" i="34" s="1"/>
  <c r="AT49" i="34"/>
  <c r="AU49" i="34" s="1"/>
  <c r="AT56" i="34"/>
  <c r="AU56" i="34" s="1"/>
  <c r="AT57" i="34"/>
  <c r="AU57" i="34" s="1"/>
  <c r="AT52" i="34"/>
  <c r="AU52" i="34" s="1"/>
  <c r="AT55" i="34"/>
  <c r="AU55" i="34" s="1"/>
  <c r="AT53" i="34"/>
  <c r="AU53" i="34" s="1"/>
  <c r="AT58" i="34"/>
  <c r="AU58" i="34" s="1"/>
  <c r="AT60" i="34"/>
  <c r="AU60" i="34" s="1"/>
  <c r="AT62" i="34"/>
  <c r="AU62" i="34" s="1"/>
  <c r="AT64" i="34"/>
  <c r="AU64" i="34" s="1"/>
  <c r="AT59" i="34"/>
  <c r="AU59" i="34" s="1"/>
  <c r="AT61" i="34"/>
  <c r="AU61" i="34" s="1"/>
  <c r="AM22" i="34"/>
  <c r="AN22" i="34"/>
  <c r="AO21" i="34"/>
  <c r="AT50" i="34"/>
  <c r="AU50" i="34" s="1"/>
  <c r="AT80" i="34"/>
  <c r="AO87" i="47"/>
  <c r="AT87" i="47" s="1"/>
  <c r="AT89" i="47" s="1"/>
  <c r="AQ9" i="47" s="1"/>
  <c r="AO87" i="48"/>
  <c r="AT87" i="48" s="1"/>
  <c r="AT89" i="48" s="1"/>
  <c r="AQ9" i="48" s="1"/>
  <c r="AO87" i="49"/>
  <c r="AT87" i="49" s="1"/>
  <c r="AT89" i="49" s="1"/>
  <c r="AQ9" i="49" s="1"/>
  <c r="AV32" i="49"/>
  <c r="AV26" i="49" s="1"/>
  <c r="AO87" i="45"/>
  <c r="AT87" i="45" s="1"/>
  <c r="AT89" i="45" s="1"/>
  <c r="AQ9" i="45" s="1"/>
  <c r="AU32" i="45"/>
  <c r="AV32" i="45" s="1"/>
  <c r="AV26" i="45" s="1"/>
  <c r="AO87" i="39"/>
  <c r="AT87" i="39" s="1"/>
  <c r="AT89" i="39" s="1"/>
  <c r="AQ9" i="39" s="1"/>
  <c r="AU32" i="39"/>
  <c r="AV32" i="39" s="1"/>
  <c r="AV26" i="39" s="1"/>
  <c r="BI23" i="48"/>
  <c r="BN26" i="48"/>
  <c r="A29" i="48"/>
  <c r="A75" i="49"/>
  <c r="DA229" i="49" s="1"/>
  <c r="BI24" i="48"/>
  <c r="A30" i="48"/>
  <c r="A76" i="49"/>
  <c r="DA230" i="49" s="1"/>
  <c r="BN27" i="48"/>
  <c r="A61" i="49"/>
  <c r="DA215" i="49" s="1"/>
  <c r="BN12" i="48"/>
  <c r="A15" i="48"/>
  <c r="BI9" i="48"/>
  <c r="A74" i="49"/>
  <c r="DA228" i="49" s="1"/>
  <c r="BN25" i="48"/>
  <c r="A28" i="48"/>
  <c r="BI22" i="48"/>
  <c r="BN8" i="48"/>
  <c r="BI5" i="48"/>
  <c r="A11" i="48"/>
  <c r="A57" i="49"/>
  <c r="DA211" i="49" s="1"/>
  <c r="AU31" i="43"/>
  <c r="AV31" i="43" s="1"/>
  <c r="AO86" i="43"/>
  <c r="AT86" i="43" s="1"/>
  <c r="AW32" i="43"/>
  <c r="AT32" i="43" s="1"/>
  <c r="AQ25" i="43"/>
  <c r="AQ87" i="43" s="1"/>
  <c r="AO25" i="43"/>
  <c r="AR25" i="43"/>
  <c r="AR87" i="43" s="1"/>
  <c r="AE14" i="41" l="1"/>
  <c r="AC14" i="41"/>
  <c r="AF14" i="41" s="1"/>
  <c r="BO8" i="41"/>
  <c r="AK48" i="41"/>
  <c r="AL48" i="41" s="1"/>
  <c r="AR47" i="40"/>
  <c r="AT57" i="40"/>
  <c r="AU57" i="40" s="1"/>
  <c r="AT53" i="40"/>
  <c r="AU53" i="40" s="1"/>
  <c r="AT51" i="40"/>
  <c r="AU51" i="40" s="1"/>
  <c r="AT56" i="40"/>
  <c r="AU56" i="40" s="1"/>
  <c r="AT52" i="40"/>
  <c r="AU52" i="40" s="1"/>
  <c r="AT50" i="40"/>
  <c r="AU50" i="40" s="1"/>
  <c r="AT54" i="40"/>
  <c r="AU54" i="40" s="1"/>
  <c r="AT60" i="40"/>
  <c r="AU60" i="40" s="1"/>
  <c r="AT58" i="40"/>
  <c r="AU58" i="40" s="1"/>
  <c r="AT64" i="40"/>
  <c r="AU64" i="40" s="1"/>
  <c r="AT61" i="40"/>
  <c r="AU61" i="40" s="1"/>
  <c r="AT62" i="40"/>
  <c r="AU62" i="40" s="1"/>
  <c r="AT63" i="40"/>
  <c r="AU63" i="40" s="1"/>
  <c r="AT67" i="40"/>
  <c r="AU67" i="40" s="1"/>
  <c r="AT65" i="40"/>
  <c r="AU65" i="40" s="1"/>
  <c r="AN22" i="40"/>
  <c r="AM22" i="40"/>
  <c r="AW28" i="40" s="1"/>
  <c r="AT28" i="40" s="1"/>
  <c r="AT59" i="40"/>
  <c r="AU59" i="40" s="1"/>
  <c r="AU28" i="40"/>
  <c r="AV28" i="40" s="1"/>
  <c r="AO83" i="40"/>
  <c r="AT83" i="40" s="1"/>
  <c r="AT82" i="40"/>
  <c r="AE14" i="35"/>
  <c r="AC14" i="35"/>
  <c r="AK48" i="35"/>
  <c r="AL48" i="35" s="1"/>
  <c r="BO8" i="35"/>
  <c r="AF17" i="35"/>
  <c r="AG17" i="35" s="1"/>
  <c r="DA217" i="36"/>
  <c r="BN14" i="36"/>
  <c r="A17" i="37"/>
  <c r="BI11" i="36"/>
  <c r="AL47" i="35"/>
  <c r="AM54" i="35"/>
  <c r="AN54" i="35" s="1"/>
  <c r="AG20" i="35"/>
  <c r="AO83" i="34"/>
  <c r="AU28" i="34"/>
  <c r="AV28" i="34" s="1"/>
  <c r="AO22" i="34"/>
  <c r="AQ22" i="34"/>
  <c r="AQ84" i="34" s="1"/>
  <c r="AR22" i="34"/>
  <c r="AR84" i="34" s="1"/>
  <c r="AW28" i="34"/>
  <c r="AT28" i="34" s="1"/>
  <c r="AR21" i="34"/>
  <c r="AR83" i="34" s="1"/>
  <c r="AT65" i="34"/>
  <c r="AU65" i="34" s="1"/>
  <c r="AR46" i="34"/>
  <c r="AL23" i="34" s="1"/>
  <c r="AT63" i="34"/>
  <c r="AU63" i="34" s="1"/>
  <c r="AT46" i="34"/>
  <c r="AU46" i="34" s="1"/>
  <c r="AT54" i="34"/>
  <c r="AU54" i="34" s="1"/>
  <c r="AT47" i="34"/>
  <c r="AU47" i="34" s="1"/>
  <c r="DA214" i="43"/>
  <c r="BI8" i="43"/>
  <c r="BN11" i="43"/>
  <c r="A60" i="44"/>
  <c r="A57" i="50"/>
  <c r="DA211" i="50" s="1"/>
  <c r="BI5" i="49"/>
  <c r="A11" i="49"/>
  <c r="BN8" i="49"/>
  <c r="BN26" i="49"/>
  <c r="A29" i="49"/>
  <c r="BI23" i="49"/>
  <c r="A75" i="50"/>
  <c r="DA229" i="50" s="1"/>
  <c r="BN25" i="49"/>
  <c r="BI22" i="49"/>
  <c r="A74" i="50"/>
  <c r="DA228" i="50" s="1"/>
  <c r="A28" i="49"/>
  <c r="BN12" i="49"/>
  <c r="A61" i="50"/>
  <c r="DA215" i="50" s="1"/>
  <c r="BI9" i="49"/>
  <c r="A15" i="49"/>
  <c r="BI24" i="49"/>
  <c r="A76" i="50"/>
  <c r="DA230" i="50" s="1"/>
  <c r="BN27" i="49"/>
  <c r="A30" i="49"/>
  <c r="AO87" i="43"/>
  <c r="AT87" i="43" s="1"/>
  <c r="AT89" i="43" s="1"/>
  <c r="AQ9" i="43" s="1"/>
  <c r="AU32" i="43"/>
  <c r="AV32" i="43" s="1"/>
  <c r="AV26" i="43" s="1"/>
  <c r="AL47" i="41" l="1"/>
  <c r="AM48" i="41"/>
  <c r="AN48" i="41" s="1"/>
  <c r="AG14" i="41"/>
  <c r="AG2" i="41"/>
  <c r="AG3" i="41"/>
  <c r="BC12" i="41" s="1"/>
  <c r="AQ22" i="40"/>
  <c r="AQ84" i="40" s="1"/>
  <c r="AR22" i="40"/>
  <c r="AR84" i="40" s="1"/>
  <c r="AO22" i="40"/>
  <c r="AT66" i="40"/>
  <c r="AU66" i="40" s="1"/>
  <c r="AR46" i="40"/>
  <c r="AL23" i="40" s="1"/>
  <c r="AT55" i="40"/>
  <c r="AU55" i="40" s="1"/>
  <c r="AT48" i="40"/>
  <c r="AU48" i="40" s="1"/>
  <c r="AT49" i="40"/>
  <c r="AU49" i="40" s="1"/>
  <c r="AF14" i="35"/>
  <c r="AM59" i="35"/>
  <c r="AN59" i="35" s="1"/>
  <c r="AM63" i="35"/>
  <c r="AN63" i="35" s="1"/>
  <c r="AM50" i="35"/>
  <c r="AN50" i="35" s="1"/>
  <c r="AM57" i="35"/>
  <c r="AN57" i="35" s="1"/>
  <c r="AM49" i="35"/>
  <c r="AN49" i="35" s="1"/>
  <c r="AM61" i="35"/>
  <c r="AN61" i="35" s="1"/>
  <c r="AM60" i="35"/>
  <c r="AN60" i="35" s="1"/>
  <c r="AM58" i="35"/>
  <c r="AN58" i="35" s="1"/>
  <c r="AM65" i="35"/>
  <c r="AN65" i="35" s="1"/>
  <c r="AM48" i="35"/>
  <c r="AN48" i="35" s="1"/>
  <c r="AM56" i="35"/>
  <c r="AN56" i="35" s="1"/>
  <c r="AM64" i="35"/>
  <c r="AN64" i="35" s="1"/>
  <c r="AM53" i="35"/>
  <c r="AN53" i="35" s="1"/>
  <c r="AM67" i="35"/>
  <c r="AN67" i="35" s="1"/>
  <c r="AL46" i="35"/>
  <c r="AL20" i="35" s="1"/>
  <c r="AM52" i="35"/>
  <c r="AN52" i="35" s="1"/>
  <c r="AM51" i="35"/>
  <c r="AN51" i="35" s="1"/>
  <c r="AM55" i="35"/>
  <c r="AN55" i="35" s="1"/>
  <c r="AM66" i="35"/>
  <c r="AN66" i="35" s="1"/>
  <c r="AM62" i="35"/>
  <c r="AN62" i="35" s="1"/>
  <c r="DA217" i="37"/>
  <c r="BI11" i="37"/>
  <c r="BN14" i="37"/>
  <c r="A17" i="38"/>
  <c r="DA214" i="44"/>
  <c r="BN11" i="44"/>
  <c r="A60" i="45"/>
  <c r="A14" i="44"/>
  <c r="BI8" i="44"/>
  <c r="AU45" i="34"/>
  <c r="AV46" i="34"/>
  <c r="AW46" i="34" s="1"/>
  <c r="AV63" i="34"/>
  <c r="AW63" i="34" s="1"/>
  <c r="AN23" i="34"/>
  <c r="AM23" i="34"/>
  <c r="AW29" i="34" s="1"/>
  <c r="AT29" i="34" s="1"/>
  <c r="AV65" i="34"/>
  <c r="AW65" i="34" s="1"/>
  <c r="AO84" i="34"/>
  <c r="AT82" i="34" s="1"/>
  <c r="AU29" i="34"/>
  <c r="AV29" i="34" s="1"/>
  <c r="AT81" i="34"/>
  <c r="BN25" i="50"/>
  <c r="BI22" i="50"/>
  <c r="A28" i="50"/>
  <c r="BN26" i="50"/>
  <c r="BI23" i="50"/>
  <c r="A29" i="50"/>
  <c r="A15" i="50"/>
  <c r="BN12" i="50"/>
  <c r="BI9" i="50"/>
  <c r="BN27" i="50"/>
  <c r="BI24" i="50"/>
  <c r="A30" i="50"/>
  <c r="A11" i="50"/>
  <c r="BI5" i="50"/>
  <c r="BN8" i="50"/>
  <c r="Z44" i="47" a="1"/>
  <c r="Z44" i="43" a="1"/>
  <c r="Z44" i="48" a="1"/>
  <c r="Z44" i="44" a="1"/>
  <c r="Z44" i="39" a="1"/>
  <c r="Z44" i="40" a="1"/>
  <c r="Z44" i="49" a="1"/>
  <c r="Z44" i="50" a="1"/>
  <c r="Z44" i="46" a="1"/>
  <c r="Z44" i="45" a="1"/>
  <c r="Z44" i="35" a="1"/>
  <c r="Z44" i="24" a="1"/>
  <c r="Z44" i="41" a="1"/>
  <c r="Z44" i="34" a="1"/>
  <c r="AA63" i="24"/>
  <c r="Z62" i="24"/>
  <c r="AB60" i="24"/>
  <c r="AA59" i="24"/>
  <c r="Z58" i="24"/>
  <c r="AB56" i="24"/>
  <c r="AA55" i="24"/>
  <c r="Z54" i="24"/>
  <c r="AB52" i="24"/>
  <c r="AA51" i="24"/>
  <c r="Z50" i="24"/>
  <c r="AB48" i="24"/>
  <c r="AA47" i="24"/>
  <c r="Z46" i="24"/>
  <c r="AB44" i="24"/>
  <c r="AB62" i="24"/>
  <c r="Z61" i="24"/>
  <c r="Z59" i="24"/>
  <c r="AA57" i="24"/>
  <c r="AB55" i="24"/>
  <c r="AB53" i="24"/>
  <c r="Z52" i="24"/>
  <c r="AA50" i="24"/>
  <c r="AA48" i="24"/>
  <c r="AB46" i="24"/>
  <c r="Z45" i="24"/>
  <c r="AA62" i="24"/>
  <c r="AA60" i="24"/>
  <c r="AB58" i="24"/>
  <c r="Z57" i="24"/>
  <c r="Z55" i="24"/>
  <c r="AA53" i="24"/>
  <c r="AB51" i="24"/>
  <c r="AB49" i="24"/>
  <c r="Z48" i="24"/>
  <c r="AA46" i="24"/>
  <c r="AA44" i="24"/>
  <c r="AB63" i="24"/>
  <c r="AB61" i="24"/>
  <c r="Z60" i="24"/>
  <c r="AA58" i="24"/>
  <c r="AA56" i="24"/>
  <c r="AB54" i="24"/>
  <c r="Z51" i="24"/>
  <c r="AA49" i="24"/>
  <c r="AB47" i="24"/>
  <c r="Z44" i="24"/>
  <c r="Z53" i="24"/>
  <c r="AB45" i="24"/>
  <c r="AB59" i="24"/>
  <c r="AA52" i="24"/>
  <c r="AA45" i="24"/>
  <c r="AB57" i="24"/>
  <c r="AB50" i="24"/>
  <c r="Z63" i="24"/>
  <c r="Z56" i="24"/>
  <c r="Z49" i="24"/>
  <c r="AA61" i="24"/>
  <c r="AA54" i="24"/>
  <c r="Z47" i="24"/>
  <c r="AA63" i="47"/>
  <c r="Z62" i="47"/>
  <c r="AB60" i="47"/>
  <c r="AA59" i="47"/>
  <c r="Z58" i="47"/>
  <c r="AB56" i="47"/>
  <c r="AA55" i="47"/>
  <c r="Z54" i="47"/>
  <c r="AB52" i="47"/>
  <c r="AA51" i="47"/>
  <c r="Z50" i="47"/>
  <c r="AB48" i="47"/>
  <c r="AA47" i="47"/>
  <c r="Z46" i="47"/>
  <c r="AB44" i="47"/>
  <c r="AB62" i="47"/>
  <c r="Z61" i="47"/>
  <c r="Z59" i="47"/>
  <c r="AA57" i="47"/>
  <c r="AB55" i="47"/>
  <c r="AB53" i="47"/>
  <c r="Z52" i="47"/>
  <c r="AA50" i="47"/>
  <c r="AA48" i="47"/>
  <c r="AB46" i="47"/>
  <c r="Z45" i="47"/>
  <c r="AA62" i="47"/>
  <c r="AA60" i="47"/>
  <c r="AB58" i="47"/>
  <c r="Z57" i="47"/>
  <c r="Z55" i="47"/>
  <c r="AA53" i="47"/>
  <c r="AB51" i="47"/>
  <c r="AB49" i="47"/>
  <c r="Z48" i="47"/>
  <c r="AA46" i="47"/>
  <c r="AA44" i="47"/>
  <c r="AB63" i="47"/>
  <c r="AB61" i="47"/>
  <c r="Z60" i="47"/>
  <c r="AA58" i="47"/>
  <c r="AA56" i="47"/>
  <c r="AB54" i="47"/>
  <c r="Z53" i="47"/>
  <c r="Z51" i="47"/>
  <c r="AA49" i="47"/>
  <c r="AB47" i="47"/>
  <c r="AB45" i="47"/>
  <c r="Z44" i="47"/>
  <c r="AB59" i="47"/>
  <c r="AA52" i="47"/>
  <c r="AA45" i="47"/>
  <c r="AB57" i="47"/>
  <c r="AB50" i="47"/>
  <c r="Z63" i="47"/>
  <c r="Z56" i="47"/>
  <c r="Z49" i="47"/>
  <c r="AA61" i="47"/>
  <c r="AA54" i="47"/>
  <c r="Z47" i="47"/>
  <c r="AB62" i="50"/>
  <c r="AA61" i="50"/>
  <c r="Z60" i="50"/>
  <c r="AB58" i="50"/>
  <c r="AA57" i="50"/>
  <c r="Z56" i="50"/>
  <c r="AB54" i="50"/>
  <c r="AA53" i="50"/>
  <c r="Z52" i="50"/>
  <c r="AB50" i="50"/>
  <c r="AA49" i="50"/>
  <c r="Z48" i="50"/>
  <c r="AB46" i="50"/>
  <c r="AA45" i="50"/>
  <c r="Z44" i="50"/>
  <c r="AA62" i="50"/>
  <c r="AB60" i="50"/>
  <c r="Z59" i="50"/>
  <c r="Z57" i="50"/>
  <c r="AA55" i="50"/>
  <c r="AB53" i="50"/>
  <c r="AB51" i="50"/>
  <c r="Z50" i="50"/>
  <c r="AA48" i="50"/>
  <c r="AA46" i="50"/>
  <c r="AB44" i="50"/>
  <c r="AB63" i="50"/>
  <c r="Z62" i="50"/>
  <c r="AA60" i="50"/>
  <c r="AA58" i="50"/>
  <c r="AB56" i="50"/>
  <c r="Z55" i="50"/>
  <c r="Z53" i="50"/>
  <c r="AA51" i="50"/>
  <c r="AB49" i="50"/>
  <c r="AB47" i="50"/>
  <c r="Z46" i="50"/>
  <c r="AA44" i="50"/>
  <c r="AA63" i="50"/>
  <c r="AB61" i="50"/>
  <c r="AB59" i="50"/>
  <c r="Z58" i="50"/>
  <c r="AA54" i="50"/>
  <c r="AB52" i="50"/>
  <c r="Z51" i="50"/>
  <c r="Z49" i="50"/>
  <c r="AB45" i="50"/>
  <c r="AA56" i="50"/>
  <c r="AA47" i="50"/>
  <c r="Z61" i="50"/>
  <c r="Z54" i="50"/>
  <c r="Z47" i="50"/>
  <c r="AA59" i="50"/>
  <c r="AA52" i="50"/>
  <c r="Z45" i="50"/>
  <c r="AB57" i="50"/>
  <c r="AA50" i="50"/>
  <c r="Z63" i="50"/>
  <c r="AB55" i="50"/>
  <c r="AB48" i="50"/>
  <c r="AB62" i="46"/>
  <c r="AA61" i="46"/>
  <c r="Z60" i="46"/>
  <c r="AB58" i="46"/>
  <c r="AA57" i="46"/>
  <c r="Z56" i="46"/>
  <c r="AB54" i="46"/>
  <c r="AA53" i="46"/>
  <c r="Z52" i="46"/>
  <c r="AB50" i="46"/>
  <c r="AA49" i="46"/>
  <c r="Z48" i="46"/>
  <c r="AB46" i="46"/>
  <c r="AA45" i="46"/>
  <c r="Z44" i="46"/>
  <c r="AA62" i="46"/>
  <c r="AB60" i="46"/>
  <c r="Z59" i="46"/>
  <c r="Z57" i="46"/>
  <c r="AA55" i="46"/>
  <c r="AB53" i="46"/>
  <c r="AB51" i="46"/>
  <c r="Z50" i="46"/>
  <c r="AA48" i="46"/>
  <c r="AA46" i="46"/>
  <c r="AB44" i="46"/>
  <c r="AB63" i="46"/>
  <c r="Z62" i="46"/>
  <c r="AA60" i="46"/>
  <c r="AA58" i="46"/>
  <c r="AB56" i="46"/>
  <c r="Z55" i="46"/>
  <c r="Z53" i="46"/>
  <c r="AA51" i="46"/>
  <c r="AB49" i="46"/>
  <c r="AB47" i="46"/>
  <c r="Z46" i="46"/>
  <c r="AA44" i="46"/>
  <c r="AA63" i="46"/>
  <c r="AB61" i="46"/>
  <c r="Z58" i="46"/>
  <c r="AB52" i="46"/>
  <c r="Z51" i="46"/>
  <c r="Z49" i="46"/>
  <c r="AB45" i="46"/>
  <c r="AB59" i="46"/>
  <c r="AA56" i="46"/>
  <c r="AA54" i="46"/>
  <c r="AA47" i="46"/>
  <c r="Z61" i="46"/>
  <c r="Z54" i="46"/>
  <c r="Z47" i="46"/>
  <c r="AA59" i="46"/>
  <c r="AA52" i="46"/>
  <c r="Z45" i="46"/>
  <c r="AB57" i="46"/>
  <c r="AA50" i="46"/>
  <c r="Z63" i="46"/>
  <c r="AB55" i="46"/>
  <c r="AB48" i="46"/>
  <c r="Z63" i="40"/>
  <c r="AB61" i="40"/>
  <c r="AA60" i="40"/>
  <c r="Z59" i="40"/>
  <c r="AB57" i="40"/>
  <c r="AA56" i="40"/>
  <c r="Z55" i="40"/>
  <c r="AB53" i="40"/>
  <c r="AA52" i="40"/>
  <c r="Z51" i="40"/>
  <c r="AB49" i="40"/>
  <c r="AA48" i="40"/>
  <c r="Z47" i="40"/>
  <c r="AB45" i="40"/>
  <c r="AA44" i="40"/>
  <c r="AB62" i="40"/>
  <c r="Z61" i="40"/>
  <c r="AA59" i="40"/>
  <c r="AA57" i="40"/>
  <c r="AB55" i="40"/>
  <c r="Z54" i="40"/>
  <c r="Z52" i="40"/>
  <c r="AA50" i="40"/>
  <c r="AB48" i="40"/>
  <c r="AB46" i="40"/>
  <c r="Z45" i="40"/>
  <c r="AB63" i="40"/>
  <c r="AA61" i="40"/>
  <c r="AB58" i="40"/>
  <c r="AB56" i="40"/>
  <c r="AA54" i="40"/>
  <c r="AB51" i="40"/>
  <c r="AA49" i="40"/>
  <c r="AA47" i="40"/>
  <c r="AB44" i="40"/>
  <c r="AA63" i="40"/>
  <c r="AB60" i="40"/>
  <c r="AA58" i="40"/>
  <c r="Z56" i="40"/>
  <c r="AA53" i="40"/>
  <c r="AA51" i="40"/>
  <c r="Z49" i="40"/>
  <c r="AA46" i="40"/>
  <c r="Z44" i="40"/>
  <c r="AA62" i="40"/>
  <c r="Z60" i="40"/>
  <c r="Z58" i="40"/>
  <c r="AA55" i="40"/>
  <c r="Z53" i="40"/>
  <c r="AB50" i="40"/>
  <c r="Z48" i="40"/>
  <c r="Z46" i="40"/>
  <c r="Z62" i="40"/>
  <c r="AB59" i="40"/>
  <c r="Z57" i="40"/>
  <c r="AB54" i="40"/>
  <c r="AB52" i="40"/>
  <c r="Z50" i="40"/>
  <c r="AB47" i="40"/>
  <c r="AA45" i="40"/>
  <c r="AA63" i="49"/>
  <c r="Z62" i="49"/>
  <c r="AB60" i="49"/>
  <c r="AA59" i="49"/>
  <c r="Z58" i="49"/>
  <c r="AB56" i="49"/>
  <c r="AA55" i="49"/>
  <c r="Z54" i="49"/>
  <c r="AB52" i="49"/>
  <c r="AA51" i="49"/>
  <c r="Z50" i="49"/>
  <c r="AB48" i="49"/>
  <c r="AA47" i="49"/>
  <c r="Z46" i="49"/>
  <c r="AB44" i="49"/>
  <c r="AB63" i="49"/>
  <c r="AB61" i="49"/>
  <c r="Z60" i="49"/>
  <c r="AA58" i="49"/>
  <c r="AA56" i="49"/>
  <c r="AB54" i="49"/>
  <c r="Z53" i="49"/>
  <c r="Z51" i="49"/>
  <c r="AA49" i="49"/>
  <c r="AB47" i="49"/>
  <c r="AB45" i="49"/>
  <c r="Z44" i="49"/>
  <c r="Z63" i="49"/>
  <c r="AA61" i="49"/>
  <c r="AB59" i="49"/>
  <c r="AB57" i="49"/>
  <c r="Z56" i="49"/>
  <c r="AA54" i="49"/>
  <c r="AA52" i="49"/>
  <c r="AB50" i="49"/>
  <c r="Z49" i="49"/>
  <c r="Z47" i="49"/>
  <c r="AA45" i="49"/>
  <c r="AB62" i="49"/>
  <c r="Z61" i="49"/>
  <c r="Z59" i="49"/>
  <c r="AA57" i="49"/>
  <c r="AB55" i="49"/>
  <c r="AB53" i="49"/>
  <c r="Z52" i="49"/>
  <c r="AA50" i="49"/>
  <c r="AA48" i="49"/>
  <c r="AB46" i="49"/>
  <c r="Z45" i="49"/>
  <c r="AA60" i="49"/>
  <c r="AA53" i="49"/>
  <c r="AA46" i="49"/>
  <c r="Z55" i="49"/>
  <c r="AB58" i="49"/>
  <c r="AB51" i="49"/>
  <c r="AA44" i="49"/>
  <c r="Z57" i="49"/>
  <c r="AB49" i="49"/>
  <c r="AA62" i="49"/>
  <c r="Z48" i="49"/>
  <c r="AA63" i="45"/>
  <c r="Z62" i="45"/>
  <c r="AB60" i="45"/>
  <c r="AA59" i="45"/>
  <c r="Z58" i="45"/>
  <c r="AB56" i="45"/>
  <c r="AA55" i="45"/>
  <c r="Z54" i="45"/>
  <c r="AB52" i="45"/>
  <c r="AA51" i="45"/>
  <c r="Z50" i="45"/>
  <c r="AB48" i="45"/>
  <c r="AA47" i="45"/>
  <c r="Z46" i="45"/>
  <c r="AB44" i="45"/>
  <c r="AB63" i="45"/>
  <c r="AB61" i="45"/>
  <c r="Z60" i="45"/>
  <c r="AA58" i="45"/>
  <c r="AA56" i="45"/>
  <c r="AB54" i="45"/>
  <c r="Z53" i="45"/>
  <c r="Z51" i="45"/>
  <c r="AA49" i="45"/>
  <c r="AB47" i="45"/>
  <c r="AB45" i="45"/>
  <c r="Z44" i="45"/>
  <c r="Z63" i="45"/>
  <c r="AA61" i="45"/>
  <c r="AB59" i="45"/>
  <c r="AB57" i="45"/>
  <c r="Z56" i="45"/>
  <c r="AA54" i="45"/>
  <c r="AA52" i="45"/>
  <c r="AB50" i="45"/>
  <c r="Z49" i="45"/>
  <c r="Z47" i="45"/>
  <c r="AA45" i="45"/>
  <c r="AB62" i="45"/>
  <c r="Z61" i="45"/>
  <c r="Z59" i="45"/>
  <c r="AA57" i="45"/>
  <c r="AB55" i="45"/>
  <c r="AB53" i="45"/>
  <c r="Z52" i="45"/>
  <c r="AA50" i="45"/>
  <c r="AA48" i="45"/>
  <c r="AB46" i="45"/>
  <c r="Z45" i="45"/>
  <c r="AA60" i="45"/>
  <c r="AA53" i="45"/>
  <c r="AA46" i="45"/>
  <c r="AA62" i="45"/>
  <c r="Z48" i="45"/>
  <c r="AB58" i="45"/>
  <c r="AB51" i="45"/>
  <c r="AA44" i="45"/>
  <c r="Z57" i="45"/>
  <c r="AB49" i="45"/>
  <c r="Z55" i="45"/>
  <c r="AB62" i="48"/>
  <c r="AA61" i="48"/>
  <c r="Z60" i="48"/>
  <c r="AB58" i="48"/>
  <c r="AA57" i="48"/>
  <c r="Z56" i="48"/>
  <c r="AB54" i="48"/>
  <c r="AA53" i="48"/>
  <c r="Z52" i="48"/>
  <c r="AB50" i="48"/>
  <c r="AA49" i="48"/>
  <c r="Z48" i="48"/>
  <c r="AB46" i="48"/>
  <c r="AA45" i="48"/>
  <c r="Z44" i="48"/>
  <c r="AA63" i="48"/>
  <c r="AB61" i="48"/>
  <c r="AB59" i="48"/>
  <c r="Z58" i="48"/>
  <c r="AA56" i="48"/>
  <c r="AA54" i="48"/>
  <c r="AB52" i="48"/>
  <c r="Z51" i="48"/>
  <c r="Z49" i="48"/>
  <c r="AA47" i="48"/>
  <c r="AB45" i="48"/>
  <c r="Z63" i="48"/>
  <c r="Z61" i="48"/>
  <c r="AA59" i="48"/>
  <c r="AB57" i="48"/>
  <c r="AB55" i="48"/>
  <c r="Z54" i="48"/>
  <c r="AA52" i="48"/>
  <c r="AA50" i="48"/>
  <c r="AB48" i="48"/>
  <c r="Z47" i="48"/>
  <c r="Z45" i="48"/>
  <c r="AA62" i="48"/>
  <c r="AB60" i="48"/>
  <c r="Z59" i="48"/>
  <c r="Z57" i="48"/>
  <c r="AA55" i="48"/>
  <c r="AB53" i="48"/>
  <c r="AB51" i="48"/>
  <c r="Z50" i="48"/>
  <c r="AA48" i="48"/>
  <c r="AA46" i="48"/>
  <c r="AB44" i="48"/>
  <c r="AA60" i="48"/>
  <c r="Z53" i="48"/>
  <c r="Z46" i="48"/>
  <c r="AB47" i="48"/>
  <c r="AA58" i="48"/>
  <c r="AA51" i="48"/>
  <c r="AA44" i="48"/>
  <c r="AB63" i="48"/>
  <c r="AB56" i="48"/>
  <c r="AB49" i="48"/>
  <c r="Z62" i="48"/>
  <c r="Z55" i="48"/>
  <c r="AB63" i="44"/>
  <c r="AA62" i="44"/>
  <c r="Z61" i="44"/>
  <c r="AB59" i="44"/>
  <c r="AA58" i="44"/>
  <c r="Z57" i="44"/>
  <c r="AB55" i="44"/>
  <c r="AA54" i="44"/>
  <c r="Z53" i="44"/>
  <c r="AB51" i="44"/>
  <c r="AA50" i="44"/>
  <c r="Z49" i="44"/>
  <c r="AB47" i="44"/>
  <c r="AA46" i="44"/>
  <c r="Z45" i="44"/>
  <c r="AA63" i="44"/>
  <c r="AB61" i="44"/>
  <c r="Z60" i="44"/>
  <c r="Z58" i="44"/>
  <c r="AA56" i="44"/>
  <c r="AB54" i="44"/>
  <c r="AB52" i="44"/>
  <c r="Z51" i="44"/>
  <c r="AA49" i="44"/>
  <c r="AA47" i="44"/>
  <c r="AB45" i="44"/>
  <c r="Z44" i="44"/>
  <c r="AB62" i="44"/>
  <c r="AA60" i="44"/>
  <c r="AB57" i="44"/>
  <c r="AA55" i="44"/>
  <c r="AA53" i="44"/>
  <c r="AB50" i="44"/>
  <c r="AA48" i="44"/>
  <c r="Z46" i="44"/>
  <c r="Z62" i="44"/>
  <c r="AA59" i="44"/>
  <c r="AA57" i="44"/>
  <c r="Z55" i="44"/>
  <c r="AA52" i="44"/>
  <c r="Z50" i="44"/>
  <c r="Z48" i="44"/>
  <c r="AA45" i="44"/>
  <c r="AA61" i="44"/>
  <c r="Z59" i="44"/>
  <c r="AB56" i="44"/>
  <c r="Z54" i="44"/>
  <c r="Z52" i="44"/>
  <c r="AB49" i="44"/>
  <c r="Z47" i="44"/>
  <c r="AB44" i="44"/>
  <c r="Z56" i="44"/>
  <c r="AB46" i="44"/>
  <c r="Z63" i="44"/>
  <c r="AB53" i="44"/>
  <c r="AA44" i="44"/>
  <c r="AB60" i="44"/>
  <c r="AA51" i="44"/>
  <c r="AB58" i="44"/>
  <c r="AB48" i="44"/>
  <c r="Z63" i="43"/>
  <c r="AB61" i="43"/>
  <c r="AA60" i="43"/>
  <c r="Z59" i="43"/>
  <c r="AB57" i="43"/>
  <c r="AA56" i="43"/>
  <c r="Z55" i="43"/>
  <c r="AB53" i="43"/>
  <c r="AA52" i="43"/>
  <c r="Z51" i="43"/>
  <c r="AB49" i="43"/>
  <c r="AA48" i="43"/>
  <c r="Z47" i="43"/>
  <c r="AB45" i="43"/>
  <c r="AA44" i="43"/>
  <c r="AA63" i="43"/>
  <c r="AA61" i="43"/>
  <c r="AB59" i="43"/>
  <c r="Z58" i="43"/>
  <c r="Z56" i="43"/>
  <c r="AA54" i="43"/>
  <c r="AB52" i="43"/>
  <c r="AB50" i="43"/>
  <c r="Z49" i="43"/>
  <c r="AA47" i="43"/>
  <c r="AA45" i="43"/>
  <c r="Z62" i="43"/>
  <c r="AA59" i="43"/>
  <c r="Z57" i="43"/>
  <c r="AB54" i="43"/>
  <c r="Z52" i="43"/>
  <c r="Z50" i="43"/>
  <c r="AB47" i="43"/>
  <c r="Z45" i="43"/>
  <c r="AB63" i="43"/>
  <c r="Z61" i="43"/>
  <c r="AB58" i="43"/>
  <c r="AB56" i="43"/>
  <c r="Z54" i="43"/>
  <c r="AB51" i="43"/>
  <c r="AA49" i="43"/>
  <c r="AB46" i="43"/>
  <c r="AB44" i="43"/>
  <c r="AB62" i="43"/>
  <c r="AA58" i="43"/>
  <c r="AB55" i="43"/>
  <c r="AA53" i="43"/>
  <c r="AA51" i="43"/>
  <c r="AB48" i="43"/>
  <c r="AA46" i="43"/>
  <c r="Z44" i="43"/>
  <c r="AB60" i="43"/>
  <c r="Z60" i="43"/>
  <c r="AA50" i="43"/>
  <c r="AA57" i="43"/>
  <c r="Z48" i="43"/>
  <c r="AA55" i="43"/>
  <c r="Z46" i="43"/>
  <c r="AA62" i="43"/>
  <c r="Z53" i="43"/>
  <c r="AB63" i="41"/>
  <c r="AA62" i="41"/>
  <c r="Z61" i="41"/>
  <c r="AB59" i="41"/>
  <c r="AA58" i="41"/>
  <c r="Z57" i="41"/>
  <c r="AB55" i="41"/>
  <c r="AA54" i="41"/>
  <c r="Z53" i="41"/>
  <c r="AB51" i="41"/>
  <c r="AA50" i="41"/>
  <c r="Z49" i="41"/>
  <c r="AB47" i="41"/>
  <c r="AA46" i="41"/>
  <c r="Z45" i="41"/>
  <c r="Z63" i="41"/>
  <c r="AA61" i="41"/>
  <c r="AA59" i="41"/>
  <c r="AB57" i="41"/>
  <c r="Z56" i="41"/>
  <c r="Z54" i="41"/>
  <c r="AA52" i="41"/>
  <c r="AB50" i="41"/>
  <c r="AB48" i="41"/>
  <c r="Z47" i="41"/>
  <c r="AA45" i="41"/>
  <c r="AB62" i="41"/>
  <c r="AA60" i="41"/>
  <c r="Z58" i="41"/>
  <c r="AA55" i="41"/>
  <c r="AA53" i="41"/>
  <c r="Z51" i="41"/>
  <c r="AA48" i="41"/>
  <c r="Z46" i="41"/>
  <c r="Z44" i="41"/>
  <c r="Z62" i="41"/>
  <c r="Z60" i="41"/>
  <c r="AA57" i="41"/>
  <c r="Z55" i="41"/>
  <c r="AB52" i="41"/>
  <c r="Z50" i="41"/>
  <c r="Z48" i="41"/>
  <c r="AB45" i="41"/>
  <c r="AB61" i="41"/>
  <c r="Z59" i="41"/>
  <c r="AB56" i="41"/>
  <c r="AB54" i="41"/>
  <c r="Z52" i="41"/>
  <c r="AB49" i="41"/>
  <c r="AA47" i="41"/>
  <c r="AB44" i="41"/>
  <c r="AA63" i="41"/>
  <c r="AB60" i="41"/>
  <c r="AB58" i="41"/>
  <c r="AA56" i="41"/>
  <c r="AA51" i="41"/>
  <c r="AA49" i="41"/>
  <c r="AB46" i="41"/>
  <c r="AB53" i="41"/>
  <c r="AA44" i="41"/>
  <c r="AB62" i="39"/>
  <c r="AA61" i="39"/>
  <c r="Z60" i="39"/>
  <c r="AB58" i="39"/>
  <c r="AA57" i="39"/>
  <c r="Z56" i="39"/>
  <c r="AB54" i="39"/>
  <c r="AA53" i="39"/>
  <c r="Z52" i="39"/>
  <c r="AB50" i="39"/>
  <c r="Z63" i="39"/>
  <c r="Z61" i="39"/>
  <c r="AA59" i="39"/>
  <c r="AB57" i="39"/>
  <c r="AB55" i="39"/>
  <c r="Z54" i="39"/>
  <c r="AA52" i="39"/>
  <c r="AA50" i="39"/>
  <c r="Z49" i="39"/>
  <c r="AB47" i="39"/>
  <c r="AA46" i="39"/>
  <c r="Z45" i="39"/>
  <c r="Z62" i="39"/>
  <c r="AB59" i="39"/>
  <c r="Z57" i="39"/>
  <c r="Z55" i="39"/>
  <c r="AB52" i="39"/>
  <c r="Z50" i="39"/>
  <c r="AA48" i="39"/>
  <c r="AB46" i="39"/>
  <c r="AB44" i="39"/>
  <c r="AB63" i="39"/>
  <c r="AB60" i="39"/>
  <c r="Z58" i="39"/>
  <c r="AA54" i="39"/>
  <c r="AA51" i="39"/>
  <c r="AB48" i="39"/>
  <c r="Z46" i="39"/>
  <c r="Z44" i="39"/>
  <c r="AA63" i="39"/>
  <c r="AA60" i="39"/>
  <c r="AB56" i="39"/>
  <c r="AB53" i="39"/>
  <c r="Z51" i="39"/>
  <c r="Z48" i="39"/>
  <c r="AB45" i="39"/>
  <c r="AA62" i="39"/>
  <c r="Z59" i="39"/>
  <c r="AA56" i="39"/>
  <c r="Z53" i="39"/>
  <c r="AB49" i="39"/>
  <c r="AA47" i="39"/>
  <c r="AA45" i="39"/>
  <c r="AB61" i="39"/>
  <c r="AA58" i="39"/>
  <c r="AA55" i="39"/>
  <c r="AB51" i="39"/>
  <c r="AA49" i="39"/>
  <c r="Z47" i="39"/>
  <c r="AA44" i="39"/>
  <c r="Z63" i="35"/>
  <c r="AB61" i="35"/>
  <c r="AA60" i="35"/>
  <c r="Z59" i="35"/>
  <c r="AB57" i="35"/>
  <c r="AA56" i="35"/>
  <c r="Z55" i="35"/>
  <c r="AB53" i="35"/>
  <c r="AA52" i="35"/>
  <c r="Z51" i="35"/>
  <c r="AB49" i="35"/>
  <c r="AA48" i="35"/>
  <c r="Z47" i="35"/>
  <c r="AB45" i="35"/>
  <c r="AA44" i="35"/>
  <c r="AB62" i="35"/>
  <c r="AA61" i="35"/>
  <c r="Z60" i="35"/>
  <c r="AB58" i="35"/>
  <c r="AA57" i="35"/>
  <c r="Z56" i="35"/>
  <c r="AB54" i="35"/>
  <c r="AA53" i="35"/>
  <c r="Z52" i="35"/>
  <c r="AB50" i="35"/>
  <c r="AA49" i="35"/>
  <c r="Z48" i="35"/>
  <c r="AB46" i="35"/>
  <c r="AA45" i="35"/>
  <c r="Z44" i="35"/>
  <c r="AB63" i="35"/>
  <c r="AA62" i="35"/>
  <c r="Z61" i="35"/>
  <c r="AB59" i="35"/>
  <c r="AA58" i="35"/>
  <c r="Z57" i="35"/>
  <c r="AB55" i="35"/>
  <c r="AA54" i="35"/>
  <c r="Z53" i="35"/>
  <c r="AB51" i="35"/>
  <c r="AA50" i="35"/>
  <c r="Z49" i="35"/>
  <c r="AB47" i="35"/>
  <c r="AA46" i="35"/>
  <c r="Z45" i="35"/>
  <c r="AA63" i="35"/>
  <c r="Z58" i="35"/>
  <c r="AB52" i="35"/>
  <c r="AA47" i="35"/>
  <c r="AB60" i="35"/>
  <c r="Z54" i="35"/>
  <c r="Z46" i="35"/>
  <c r="Z62" i="35"/>
  <c r="AA51" i="35"/>
  <c r="AA59" i="35"/>
  <c r="Z50" i="35"/>
  <c r="AA55" i="35"/>
  <c r="AB48" i="35"/>
  <c r="AB44" i="35"/>
  <c r="AB56" i="35"/>
  <c r="AB63" i="34"/>
  <c r="AA62" i="34"/>
  <c r="Z61" i="34"/>
  <c r="AB59" i="34"/>
  <c r="AA58" i="34"/>
  <c r="Z57" i="34"/>
  <c r="AB55" i="34"/>
  <c r="AA54" i="34"/>
  <c r="Z53" i="34"/>
  <c r="AB51" i="34"/>
  <c r="AA50" i="34"/>
  <c r="Z49" i="34"/>
  <c r="AB47" i="34"/>
  <c r="AA46" i="34"/>
  <c r="Z45" i="34"/>
  <c r="AA63" i="34"/>
  <c r="Z62" i="34"/>
  <c r="AB60" i="34"/>
  <c r="AA59" i="34"/>
  <c r="Z58" i="34"/>
  <c r="AB56" i="34"/>
  <c r="AA55" i="34"/>
  <c r="Z54" i="34"/>
  <c r="AB52" i="34"/>
  <c r="AA51" i="34"/>
  <c r="Z50" i="34"/>
  <c r="AB48" i="34"/>
  <c r="AA47" i="34"/>
  <c r="Z46" i="34"/>
  <c r="AB44" i="34"/>
  <c r="Z63" i="34"/>
  <c r="AB61" i="34"/>
  <c r="AA60" i="34"/>
  <c r="Z59" i="34"/>
  <c r="AB57" i="34"/>
  <c r="AA56" i="34"/>
  <c r="Z55" i="34"/>
  <c r="AB53" i="34"/>
  <c r="AA52" i="34"/>
  <c r="Z51" i="34"/>
  <c r="AB49" i="34"/>
  <c r="AA48" i="34"/>
  <c r="Z47" i="34"/>
  <c r="AB45" i="34"/>
  <c r="AA44" i="34"/>
  <c r="Z60" i="34"/>
  <c r="AB54" i="34"/>
  <c r="AA49" i="34"/>
  <c r="Z44" i="34"/>
  <c r="AA61" i="34"/>
  <c r="AA53" i="34"/>
  <c r="AB46" i="34"/>
  <c r="Z56" i="34"/>
  <c r="AA45" i="34"/>
  <c r="AB62" i="34"/>
  <c r="Z52" i="34"/>
  <c r="AB50" i="34"/>
  <c r="Z48" i="34"/>
  <c r="AB58" i="34"/>
  <c r="AA57" i="34"/>
  <c r="AC44" i="50"/>
  <c r="AC44" i="24"/>
  <c r="AC44" i="47"/>
  <c r="AC44" i="46"/>
  <c r="AC44" i="48"/>
  <c r="AC44" i="40"/>
  <c r="AC44" i="45"/>
  <c r="AC44" i="49"/>
  <c r="AC44" i="44"/>
  <c r="AC44" i="39"/>
  <c r="AE44" i="24"/>
  <c r="AC45" i="24"/>
  <c r="AE44" i="44"/>
  <c r="AC45" i="44"/>
  <c r="AE44" i="40"/>
  <c r="AC45" i="40"/>
  <c r="AE44" i="39"/>
  <c r="AC45" i="39"/>
  <c r="AE44" i="45"/>
  <c r="AC45" i="45"/>
  <c r="AC45" i="48"/>
  <c r="AE44" i="48"/>
  <c r="AE44" i="50"/>
  <c r="AC45" i="50"/>
  <c r="AC45" i="47"/>
  <c r="AE44" i="47"/>
  <c r="AE44" i="49"/>
  <c r="AC45" i="49"/>
  <c r="AE44" i="46"/>
  <c r="AC45" i="46"/>
  <c r="AC44" i="43"/>
  <c r="AC44" i="34"/>
  <c r="AC45" i="43"/>
  <c r="AE44" i="43"/>
  <c r="AC46" i="39"/>
  <c r="AE45" i="39"/>
  <c r="AC46" i="44"/>
  <c r="AE45" i="44"/>
  <c r="AE44" i="34"/>
  <c r="AC45" i="34"/>
  <c r="AE45" i="40"/>
  <c r="AC46" i="40"/>
  <c r="AE45" i="24"/>
  <c r="AC46" i="24"/>
  <c r="AC46" i="48"/>
  <c r="AE45" i="48"/>
  <c r="AC46" i="49"/>
  <c r="AE45" i="49"/>
  <c r="AE45" i="47"/>
  <c r="AC46" i="47"/>
  <c r="AC46" i="50"/>
  <c r="AE45" i="50"/>
  <c r="AC46" i="45"/>
  <c r="AE45" i="45"/>
  <c r="AC46" i="46"/>
  <c r="AE45" i="46"/>
  <c r="AE46" i="40"/>
  <c r="AC47" i="40"/>
  <c r="AC47" i="24"/>
  <c r="AE46" i="24"/>
  <c r="AE45" i="34"/>
  <c r="AC46" i="34"/>
  <c r="AE46" i="44"/>
  <c r="AC47" i="44"/>
  <c r="AE46" i="39"/>
  <c r="AC47" i="39"/>
  <c r="AE45" i="43"/>
  <c r="AC46" i="43"/>
  <c r="AC47" i="46"/>
  <c r="AE46" i="46"/>
  <c r="AC47" i="50"/>
  <c r="AE46" i="50"/>
  <c r="AC47" i="49"/>
  <c r="AE46" i="49"/>
  <c r="AE46" i="47"/>
  <c r="AC47" i="47"/>
  <c r="AE46" i="45"/>
  <c r="AC47" i="45"/>
  <c r="AE46" i="48"/>
  <c r="AC47" i="48"/>
  <c r="AC47" i="43"/>
  <c r="AE46" i="43"/>
  <c r="AE47" i="44"/>
  <c r="AC48" i="44"/>
  <c r="AE47" i="24"/>
  <c r="AC48" i="24"/>
  <c r="AE47" i="39"/>
  <c r="AC48" i="39"/>
  <c r="AE46" i="34"/>
  <c r="AC47" i="34"/>
  <c r="AE47" i="40"/>
  <c r="AC48" i="40"/>
  <c r="AC48" i="45"/>
  <c r="AE47" i="45"/>
  <c r="AC48" i="47"/>
  <c r="AE47" i="47"/>
  <c r="AC48" i="49"/>
  <c r="AE47" i="49"/>
  <c r="AC48" i="46"/>
  <c r="AE47" i="46"/>
  <c r="AE47" i="48"/>
  <c r="AC48" i="48"/>
  <c r="AC48" i="50"/>
  <c r="AE47" i="50"/>
  <c r="AC49" i="39"/>
  <c r="AE48" i="39"/>
  <c r="AE48" i="44"/>
  <c r="AC49" i="44"/>
  <c r="AC49" i="40"/>
  <c r="AE48" i="40"/>
  <c r="AE47" i="34"/>
  <c r="AC48" i="34"/>
  <c r="AC49" i="24"/>
  <c r="AE48" i="24"/>
  <c r="AE47" i="43"/>
  <c r="AC48" i="43"/>
  <c r="AC49" i="50"/>
  <c r="AE48" i="50"/>
  <c r="AC49" i="46"/>
  <c r="AE48" i="46"/>
  <c r="AE48" i="47"/>
  <c r="AC49" i="47"/>
  <c r="AC49" i="48"/>
  <c r="AE48" i="48"/>
  <c r="AE48" i="49"/>
  <c r="AC49" i="49"/>
  <c r="AE48" i="45"/>
  <c r="AC49" i="45"/>
  <c r="AE49" i="44"/>
  <c r="AC50" i="44"/>
  <c r="AC50" i="40"/>
  <c r="AE49" i="40"/>
  <c r="AC50" i="39"/>
  <c r="AE49" i="39"/>
  <c r="AE48" i="43"/>
  <c r="AC49" i="43"/>
  <c r="AC49" i="34"/>
  <c r="AE48" i="34"/>
  <c r="AC50" i="24"/>
  <c r="AE49" i="24"/>
  <c r="AC50" i="45"/>
  <c r="AE49" i="45"/>
  <c r="AC50" i="48"/>
  <c r="AE49" i="48"/>
  <c r="AC50" i="46"/>
  <c r="AE49" i="46"/>
  <c r="AC50" i="49"/>
  <c r="AE49" i="49"/>
  <c r="AC50" i="47"/>
  <c r="AE49" i="47"/>
  <c r="AC50" i="50"/>
  <c r="AE49" i="50"/>
  <c r="AC50" i="43"/>
  <c r="AE49" i="43"/>
  <c r="AC51" i="44"/>
  <c r="AE50" i="44"/>
  <c r="AE50" i="40"/>
  <c r="AC51" i="40"/>
  <c r="AC51" i="24"/>
  <c r="AE50" i="24"/>
  <c r="AE49" i="34"/>
  <c r="AC50" i="34"/>
  <c r="AC51" i="39"/>
  <c r="AE50" i="39"/>
  <c r="AC51" i="50"/>
  <c r="AE50" i="50"/>
  <c r="AC51" i="49"/>
  <c r="AE50" i="49"/>
  <c r="AC51" i="48"/>
  <c r="AE50" i="48"/>
  <c r="AC51" i="47"/>
  <c r="AE50" i="47"/>
  <c r="AC51" i="46"/>
  <c r="AE50" i="46"/>
  <c r="AC51" i="45"/>
  <c r="AE50" i="45"/>
  <c r="AC52" i="39"/>
  <c r="AE51" i="39"/>
  <c r="AC52" i="24"/>
  <c r="AE51" i="24"/>
  <c r="AE50" i="43"/>
  <c r="AC51" i="43"/>
  <c r="AE50" i="34"/>
  <c r="AC51" i="34"/>
  <c r="AE51" i="40"/>
  <c r="AC52" i="40"/>
  <c r="AE51" i="44"/>
  <c r="AC52" i="44"/>
  <c r="AE51" i="45"/>
  <c r="AC52" i="45"/>
  <c r="AC52" i="47"/>
  <c r="AE51" i="47"/>
  <c r="AE51" i="49"/>
  <c r="AC52" i="49"/>
  <c r="AE51" i="46"/>
  <c r="AC52" i="46"/>
  <c r="AC52" i="48"/>
  <c r="AE51" i="48"/>
  <c r="AC52" i="50"/>
  <c r="AE51" i="50"/>
  <c r="AE52" i="44"/>
  <c r="AC53" i="44"/>
  <c r="AE52" i="40"/>
  <c r="AC53" i="40"/>
  <c r="AC53" i="39"/>
  <c r="AE52" i="39"/>
  <c r="AE51" i="34"/>
  <c r="AC52" i="34"/>
  <c r="AC52" i="43"/>
  <c r="AE51" i="43"/>
  <c r="AC53" i="24"/>
  <c r="AE52" i="24"/>
  <c r="AE52" i="46"/>
  <c r="AC53" i="46"/>
  <c r="AE52" i="50"/>
  <c r="AC53" i="50"/>
  <c r="AE52" i="47"/>
  <c r="AC53" i="47"/>
  <c r="AC53" i="49"/>
  <c r="AE52" i="49"/>
  <c r="AC53" i="45"/>
  <c r="AE52" i="45"/>
  <c r="AC53" i="48"/>
  <c r="AE52" i="48"/>
  <c r="AC53" i="34"/>
  <c r="AE52" i="34"/>
  <c r="AE53" i="40"/>
  <c r="AC54" i="40"/>
  <c r="AC54" i="24"/>
  <c r="AE53" i="24"/>
  <c r="AE53" i="44"/>
  <c r="AC54" i="44"/>
  <c r="AE52" i="43"/>
  <c r="AC53" i="43"/>
  <c r="AC54" i="39"/>
  <c r="AE53" i="39"/>
  <c r="AC54" i="50"/>
  <c r="AE53" i="50"/>
  <c r="AC54" i="48"/>
  <c r="AE53" i="48"/>
  <c r="AC54" i="49"/>
  <c r="AE53" i="49"/>
  <c r="AC54" i="47"/>
  <c r="AE53" i="47"/>
  <c r="AC54" i="46"/>
  <c r="AE53" i="46"/>
  <c r="AC54" i="45"/>
  <c r="AE53" i="45"/>
  <c r="AE54" i="40"/>
  <c r="AC55" i="40"/>
  <c r="AC55" i="39"/>
  <c r="AE54" i="39"/>
  <c r="AE53" i="43"/>
  <c r="AC54" i="43"/>
  <c r="AC55" i="44"/>
  <c r="AE54" i="44"/>
  <c r="AC55" i="24"/>
  <c r="AE54" i="24"/>
  <c r="AE53" i="34"/>
  <c r="AC54" i="34"/>
  <c r="AC55" i="45"/>
  <c r="AE54" i="45"/>
  <c r="AC55" i="47"/>
  <c r="AE54" i="47"/>
  <c r="AC55" i="48"/>
  <c r="AE54" i="48"/>
  <c r="AE54" i="46"/>
  <c r="AC55" i="46"/>
  <c r="AC55" i="49"/>
  <c r="AE54" i="49"/>
  <c r="AC55" i="50"/>
  <c r="AE54" i="50"/>
  <c r="AC56" i="40"/>
  <c r="AE55" i="40"/>
  <c r="AE55" i="24"/>
  <c r="AC56" i="24"/>
  <c r="AE55" i="44"/>
  <c r="AC56" i="44"/>
  <c r="AC55" i="34"/>
  <c r="AE54" i="34"/>
  <c r="AE54" i="43"/>
  <c r="AC55" i="43"/>
  <c r="AC56" i="39"/>
  <c r="AE55" i="39"/>
  <c r="AC56" i="46"/>
  <c r="AE55" i="46"/>
  <c r="AC56" i="50"/>
  <c r="AE55" i="50"/>
  <c r="AE55" i="47"/>
  <c r="AC56" i="47"/>
  <c r="AE55" i="49"/>
  <c r="AC56" i="49"/>
  <c r="AC56" i="48"/>
  <c r="AE55" i="48"/>
  <c r="AE55" i="45"/>
  <c r="AC56" i="45"/>
  <c r="AC56" i="43"/>
  <c r="AE55" i="43"/>
  <c r="AE56" i="44"/>
  <c r="AC57" i="44"/>
  <c r="AE56" i="39"/>
  <c r="AC57" i="39"/>
  <c r="AE55" i="34"/>
  <c r="AC56" i="34"/>
  <c r="AE56" i="40"/>
  <c r="AC57" i="40"/>
  <c r="AC57" i="24"/>
  <c r="AE56" i="24"/>
  <c r="AC57" i="50"/>
  <c r="AE56" i="50"/>
  <c r="AE56" i="48"/>
  <c r="AC57" i="48"/>
  <c r="AC57" i="47"/>
  <c r="AE56" i="47"/>
  <c r="AC57" i="45"/>
  <c r="AE56" i="45"/>
  <c r="AC57" i="49"/>
  <c r="AE56" i="49"/>
  <c r="AC57" i="46"/>
  <c r="AE56" i="46"/>
  <c r="AC57" i="34"/>
  <c r="AE56" i="34"/>
  <c r="AE57" i="44"/>
  <c r="AC58" i="44"/>
  <c r="AC58" i="40"/>
  <c r="AE57" i="40"/>
  <c r="AC58" i="39"/>
  <c r="AE57" i="39"/>
  <c r="AC58" i="24"/>
  <c r="AE57" i="24"/>
  <c r="AE56" i="43"/>
  <c r="AC57" i="43"/>
  <c r="AE57" i="48"/>
  <c r="AC58" i="48"/>
  <c r="AE57" i="46"/>
  <c r="AC58" i="46"/>
  <c r="AC58" i="45"/>
  <c r="AE57" i="45"/>
  <c r="AE57" i="49"/>
  <c r="AC58" i="49"/>
  <c r="AC58" i="47"/>
  <c r="AE57" i="47"/>
  <c r="AC58" i="50"/>
  <c r="AE57" i="50"/>
  <c r="AC59" i="44"/>
  <c r="AE58" i="44"/>
  <c r="AC59" i="24"/>
  <c r="AE58" i="24"/>
  <c r="AE58" i="40"/>
  <c r="AC59" i="40"/>
  <c r="AC58" i="43"/>
  <c r="AE57" i="43"/>
  <c r="AE58" i="39"/>
  <c r="AC59" i="39"/>
  <c r="AE57" i="34"/>
  <c r="AC58" i="34"/>
  <c r="AC59" i="49"/>
  <c r="AE58" i="49"/>
  <c r="AC59" i="46"/>
  <c r="AE58" i="46"/>
  <c r="AC59" i="50"/>
  <c r="AE58" i="50"/>
  <c r="AC59" i="48"/>
  <c r="AE58" i="48"/>
  <c r="AE58" i="47"/>
  <c r="AC59" i="47"/>
  <c r="AC59" i="45"/>
  <c r="AE58" i="45"/>
  <c r="AC59" i="34"/>
  <c r="AE58" i="34"/>
  <c r="AC60" i="40"/>
  <c r="AE59" i="40"/>
  <c r="AE58" i="43"/>
  <c r="AC59" i="43"/>
  <c r="AC60" i="44"/>
  <c r="AE59" i="44"/>
  <c r="AC60" i="39"/>
  <c r="AE59" i="39"/>
  <c r="AC60" i="24"/>
  <c r="AE59" i="24"/>
  <c r="AC60" i="45"/>
  <c r="AE59" i="45"/>
  <c r="AC60" i="48"/>
  <c r="AE59" i="48"/>
  <c r="AE59" i="46"/>
  <c r="AC60" i="46"/>
  <c r="AC60" i="47"/>
  <c r="AE59" i="47"/>
  <c r="AC60" i="50"/>
  <c r="AE59" i="50"/>
  <c r="AC60" i="49"/>
  <c r="AE59" i="49"/>
  <c r="AE59" i="43"/>
  <c r="AC60" i="43"/>
  <c r="AE60" i="40"/>
  <c r="AC61" i="40"/>
  <c r="AE60" i="24"/>
  <c r="AC61" i="24"/>
  <c r="AC61" i="39"/>
  <c r="AE60" i="39"/>
  <c r="AE60" i="44"/>
  <c r="AC61" i="44"/>
  <c r="AC60" i="34"/>
  <c r="AE59" i="34"/>
  <c r="AC61" i="49"/>
  <c r="AE60" i="49"/>
  <c r="AE60" i="47"/>
  <c r="AC61" i="47"/>
  <c r="AC61" i="48"/>
  <c r="AE60" i="48"/>
  <c r="AE60" i="46"/>
  <c r="AC61" i="46"/>
  <c r="AE60" i="50"/>
  <c r="AC61" i="50"/>
  <c r="AC61" i="45"/>
  <c r="AE60" i="45"/>
  <c r="AE61" i="44"/>
  <c r="AC62" i="44"/>
  <c r="AC62" i="24"/>
  <c r="AE61" i="24"/>
  <c r="AC61" i="43"/>
  <c r="AE60" i="43"/>
  <c r="AE61" i="40"/>
  <c r="AC62" i="40"/>
  <c r="AC61" i="34"/>
  <c r="AE60" i="34"/>
  <c r="AC62" i="39"/>
  <c r="AE61" i="39"/>
  <c r="AC62" i="45"/>
  <c r="AE61" i="45"/>
  <c r="AC62" i="46"/>
  <c r="AE61" i="46"/>
  <c r="AC62" i="47"/>
  <c r="AE61" i="47"/>
  <c r="AC62" i="50"/>
  <c r="AE61" i="50"/>
  <c r="AC62" i="48"/>
  <c r="AE61" i="48"/>
  <c r="AC62" i="49"/>
  <c r="AE61" i="49"/>
  <c r="AC63" i="40"/>
  <c r="AE63" i="40"/>
  <c r="AE62" i="40"/>
  <c r="AE62" i="39"/>
  <c r="AC63" i="39"/>
  <c r="AE63" i="39"/>
  <c r="AE61" i="43"/>
  <c r="AC62" i="43"/>
  <c r="AE62" i="24"/>
  <c r="AC63" i="24"/>
  <c r="AE63" i="24"/>
  <c r="AE62" i="44"/>
  <c r="AC63" i="44"/>
  <c r="AE63" i="44"/>
  <c r="AE61" i="34"/>
  <c r="AC62" i="34"/>
  <c r="AC63" i="49"/>
  <c r="AE63" i="49"/>
  <c r="AE62" i="49"/>
  <c r="AC63" i="50"/>
  <c r="AE63" i="50"/>
  <c r="AE62" i="50"/>
  <c r="AC63" i="46"/>
  <c r="AE63" i="46"/>
  <c r="AE62" i="46"/>
  <c r="AC63" i="48"/>
  <c r="AE63" i="48"/>
  <c r="AE62" i="48"/>
  <c r="AC63" i="47"/>
  <c r="AE63" i="47"/>
  <c r="AE62" i="47"/>
  <c r="AC63" i="45"/>
  <c r="AE63" i="45"/>
  <c r="AE62" i="45"/>
  <c r="AE62" i="34"/>
  <c r="AC63" i="34"/>
  <c r="AE63" i="34"/>
  <c r="AE62" i="43"/>
  <c r="AC63" i="43"/>
  <c r="AE63" i="43"/>
  <c r="BC25" i="41" l="1"/>
  <c r="BC23" i="41"/>
  <c r="BC29" i="41"/>
  <c r="BC24" i="41"/>
  <c r="AC43" i="41"/>
  <c r="AC44" i="41" s="1"/>
  <c r="AM60" i="41"/>
  <c r="AN60" i="41" s="1"/>
  <c r="AM67" i="41"/>
  <c r="AN67" i="41" s="1"/>
  <c r="AM66" i="41"/>
  <c r="AN66" i="41" s="1"/>
  <c r="AM65" i="41"/>
  <c r="AN65" i="41" s="1"/>
  <c r="AL46" i="41"/>
  <c r="AL20" i="41" s="1"/>
  <c r="AN20" i="41" s="1"/>
  <c r="AM59" i="41"/>
  <c r="AN59" i="41" s="1"/>
  <c r="AM58" i="41"/>
  <c r="AN58" i="41" s="1"/>
  <c r="AM63" i="41"/>
  <c r="AN63" i="41" s="1"/>
  <c r="AM61" i="41"/>
  <c r="AN61" i="41" s="1"/>
  <c r="AM64" i="41"/>
  <c r="AN64" i="41" s="1"/>
  <c r="AM62" i="41"/>
  <c r="AN62" i="41" s="1"/>
  <c r="AM50" i="41"/>
  <c r="AN50" i="41" s="1"/>
  <c r="AM53" i="41"/>
  <c r="AN53" i="41" s="1"/>
  <c r="AM57" i="41"/>
  <c r="AN57" i="41" s="1"/>
  <c r="AM56" i="41"/>
  <c r="AN56" i="41" s="1"/>
  <c r="AM49" i="41"/>
  <c r="AN49" i="41" s="1"/>
  <c r="AM54" i="41"/>
  <c r="AN54" i="41" s="1"/>
  <c r="AM55" i="41"/>
  <c r="AN55" i="41" s="1"/>
  <c r="AM52" i="41"/>
  <c r="AN52" i="41" s="1"/>
  <c r="AM51" i="41"/>
  <c r="AN51" i="41" s="1"/>
  <c r="AU47" i="40"/>
  <c r="AV48" i="40"/>
  <c r="AW48" i="40" s="1"/>
  <c r="AV55" i="40"/>
  <c r="AW55" i="40" s="1"/>
  <c r="AN23" i="40"/>
  <c r="AM23" i="40"/>
  <c r="AW29" i="40" s="1"/>
  <c r="AT29" i="40" s="1"/>
  <c r="AV66" i="40"/>
  <c r="AW66" i="40" s="1"/>
  <c r="AU29" i="40"/>
  <c r="AV29" i="40" s="1"/>
  <c r="AO84" i="40"/>
  <c r="AT84" i="40" s="1"/>
  <c r="AG14" i="35"/>
  <c r="AG2" i="35"/>
  <c r="AG3" i="35"/>
  <c r="BC12" i="35" s="1"/>
  <c r="DA217" i="38"/>
  <c r="BN14" i="38"/>
  <c r="A17" i="39"/>
  <c r="BI11" i="38"/>
  <c r="AN47" i="35"/>
  <c r="AO48" i="35"/>
  <c r="AP48" i="35" s="1"/>
  <c r="AO65" i="35"/>
  <c r="AP65" i="35" s="1"/>
  <c r="AO58" i="35"/>
  <c r="AP58" i="35" s="1"/>
  <c r="AO60" i="35"/>
  <c r="AP60" i="35" s="1"/>
  <c r="AO61" i="35"/>
  <c r="AP61" i="35" s="1"/>
  <c r="AO49" i="35"/>
  <c r="AP49" i="35" s="1"/>
  <c r="AO57" i="35"/>
  <c r="AP57" i="35" s="1"/>
  <c r="AO50" i="35"/>
  <c r="AP50" i="35" s="1"/>
  <c r="AO59" i="35"/>
  <c r="AP59" i="35" s="1"/>
  <c r="AO23" i="34"/>
  <c r="AQ23" i="34"/>
  <c r="AQ85" i="34" s="1"/>
  <c r="AR23" i="34"/>
  <c r="AR85" i="34" s="1"/>
  <c r="AV51" i="34"/>
  <c r="AW51" i="34" s="1"/>
  <c r="AU44" i="34"/>
  <c r="AL24" i="34" s="1"/>
  <c r="AV50" i="34"/>
  <c r="AW50" i="34" s="1"/>
  <c r="AV61" i="34"/>
  <c r="AW61" i="34" s="1"/>
  <c r="AV59" i="34"/>
  <c r="AW59" i="34" s="1"/>
  <c r="AV64" i="34"/>
  <c r="AW64" i="34" s="1"/>
  <c r="AV62" i="34"/>
  <c r="AW62" i="34" s="1"/>
  <c r="AV60" i="34"/>
  <c r="AW60" i="34" s="1"/>
  <c r="AV58" i="34"/>
  <c r="AW58" i="34" s="1"/>
  <c r="AV53" i="34"/>
  <c r="AW53" i="34" s="1"/>
  <c r="AV55" i="34"/>
  <c r="AW55" i="34" s="1"/>
  <c r="AV52" i="34"/>
  <c r="AW52" i="34" s="1"/>
  <c r="AV57" i="34"/>
  <c r="AW57" i="34" s="1"/>
  <c r="AV56" i="34"/>
  <c r="AW56" i="34" s="1"/>
  <c r="AV49" i="34"/>
  <c r="AW49" i="34" s="1"/>
  <c r="AV48" i="34"/>
  <c r="AW48" i="34" s="1"/>
  <c r="AV47" i="34"/>
  <c r="AW47" i="34" s="1"/>
  <c r="AV54" i="34"/>
  <c r="AW54" i="34" s="1"/>
  <c r="DA214" i="45"/>
  <c r="BI8" i="45"/>
  <c r="A14" i="45"/>
  <c r="A60" i="46"/>
  <c r="BN11" i="45"/>
  <c r="AN47" i="41" l="1"/>
  <c r="AO56" i="41"/>
  <c r="AP56" i="41" s="1"/>
  <c r="AO57" i="41"/>
  <c r="AP57" i="41" s="1"/>
  <c r="AO53" i="41"/>
  <c r="AP53" i="41" s="1"/>
  <c r="AO50" i="41"/>
  <c r="AP50" i="41" s="1"/>
  <c r="AO62" i="41"/>
  <c r="AP62" i="41" s="1"/>
  <c r="AO64" i="41"/>
  <c r="AP64" i="41" s="1"/>
  <c r="AO61" i="41"/>
  <c r="AP61" i="41" s="1"/>
  <c r="AO63" i="41"/>
  <c r="AP63" i="41" s="1"/>
  <c r="AO58" i="41"/>
  <c r="AP58" i="41" s="1"/>
  <c r="AO59" i="41"/>
  <c r="AP59" i="41" s="1"/>
  <c r="AQ20" i="41"/>
  <c r="AQ82" i="41" s="1"/>
  <c r="AO65" i="41"/>
  <c r="AP65" i="41" s="1"/>
  <c r="AO66" i="41"/>
  <c r="AP66" i="41" s="1"/>
  <c r="AO67" i="41"/>
  <c r="AP67" i="41" s="1"/>
  <c r="AO60" i="41"/>
  <c r="AP60" i="41" s="1"/>
  <c r="AC45" i="41"/>
  <c r="AE44" i="41"/>
  <c r="BG6" i="41"/>
  <c r="BK50" i="41" s="1"/>
  <c r="V12" i="41" s="1"/>
  <c r="BG11" i="41"/>
  <c r="BK55" i="41" s="1"/>
  <c r="V17" i="41" s="1"/>
  <c r="BG20" i="41"/>
  <c r="BK64" i="41" s="1"/>
  <c r="V26" i="41" s="1"/>
  <c r="BG21" i="41"/>
  <c r="BK65" i="41" s="1"/>
  <c r="V27" i="41" s="1"/>
  <c r="BG17" i="41"/>
  <c r="BK61" i="41" s="1"/>
  <c r="V23" i="41" s="1"/>
  <c r="BG8" i="41"/>
  <c r="BK52" i="41" s="1"/>
  <c r="V14" i="41" s="1"/>
  <c r="BG5" i="41"/>
  <c r="BG19" i="41"/>
  <c r="BK63" i="41" s="1"/>
  <c r="V25" i="41" s="1"/>
  <c r="BG18" i="41"/>
  <c r="BK62" i="41" s="1"/>
  <c r="V24" i="41" s="1"/>
  <c r="BG14" i="41"/>
  <c r="BK58" i="41" s="1"/>
  <c r="V20" i="41" s="1"/>
  <c r="BG16" i="41"/>
  <c r="BK60" i="41" s="1"/>
  <c r="V22" i="41" s="1"/>
  <c r="BG9" i="41"/>
  <c r="BK53" i="41" s="1"/>
  <c r="V15" i="41" s="1"/>
  <c r="BG15" i="41"/>
  <c r="BK59" i="41" s="1"/>
  <c r="V21" i="41" s="1"/>
  <c r="BG23" i="41"/>
  <c r="BK67" i="41" s="1"/>
  <c r="BG7" i="41"/>
  <c r="BK51" i="41" s="1"/>
  <c r="V13" i="41" s="1"/>
  <c r="BG24" i="41"/>
  <c r="BK68" i="41" s="1"/>
  <c r="BG22" i="41"/>
  <c r="BK66" i="41" s="1"/>
  <c r="BG10" i="41"/>
  <c r="BK54" i="41" s="1"/>
  <c r="V16" i="41" s="1"/>
  <c r="BG12" i="41"/>
  <c r="BK56" i="41" s="1"/>
  <c r="V18" i="41" s="1"/>
  <c r="BG13" i="41"/>
  <c r="BK57" i="41" s="1"/>
  <c r="V19" i="41" s="1"/>
  <c r="AR23" i="40"/>
  <c r="AR85" i="40" s="1"/>
  <c r="AQ23" i="40"/>
  <c r="AQ85" i="40" s="1"/>
  <c r="AO23" i="40"/>
  <c r="AV52" i="40"/>
  <c r="AW52" i="40" s="1"/>
  <c r="AU46" i="40"/>
  <c r="AL24" i="40" s="1"/>
  <c r="AV59" i="40"/>
  <c r="AW59" i="40" s="1"/>
  <c r="AV65" i="40"/>
  <c r="AW65" i="40" s="1"/>
  <c r="AV67" i="40"/>
  <c r="AW67" i="40" s="1"/>
  <c r="AV63" i="40"/>
  <c r="AW63" i="40" s="1"/>
  <c r="AV62" i="40"/>
  <c r="AW62" i="40" s="1"/>
  <c r="AV61" i="40"/>
  <c r="AW61" i="40" s="1"/>
  <c r="AV64" i="40"/>
  <c r="AW64" i="40" s="1"/>
  <c r="AV58" i="40"/>
  <c r="AW58" i="40" s="1"/>
  <c r="AV60" i="40"/>
  <c r="AW60" i="40" s="1"/>
  <c r="AV54" i="40"/>
  <c r="AW54" i="40" s="1"/>
  <c r="AV50" i="40"/>
  <c r="AW50" i="40" s="1"/>
  <c r="AV56" i="40"/>
  <c r="AW56" i="40" s="1"/>
  <c r="AV51" i="40"/>
  <c r="AW51" i="40" s="1"/>
  <c r="AV53" i="40"/>
  <c r="AW53" i="40" s="1"/>
  <c r="AV57" i="40"/>
  <c r="AW57" i="40" s="1"/>
  <c r="AV49" i="40"/>
  <c r="AW49" i="40" s="1"/>
  <c r="AW47" i="40" s="1"/>
  <c r="AW46" i="40" s="1"/>
  <c r="AL25" i="40" s="1"/>
  <c r="BC29" i="35"/>
  <c r="BC23" i="35"/>
  <c r="BC24" i="35" s="1"/>
  <c r="BC25" i="35" s="1"/>
  <c r="BG26" i="35" s="1"/>
  <c r="BI69" i="35" s="1"/>
  <c r="BK69" i="35" s="1"/>
  <c r="J31" i="35" s="1"/>
  <c r="AC43" i="35"/>
  <c r="AC44" i="35" s="1"/>
  <c r="AN20" i="35"/>
  <c r="AQ20" i="35" s="1"/>
  <c r="AQ82" i="35" s="1"/>
  <c r="AO63" i="35"/>
  <c r="AP63" i="35" s="1"/>
  <c r="AN46" i="35"/>
  <c r="AL21" i="35" s="1"/>
  <c r="AO54" i="35"/>
  <c r="AP54" i="35" s="1"/>
  <c r="AO62" i="35"/>
  <c r="AP62" i="35" s="1"/>
  <c r="AO66" i="35"/>
  <c r="AP66" i="35" s="1"/>
  <c r="AO55" i="35"/>
  <c r="AP55" i="35" s="1"/>
  <c r="AO51" i="35"/>
  <c r="AP51" i="35" s="1"/>
  <c r="AO52" i="35"/>
  <c r="AP52" i="35" s="1"/>
  <c r="AO67" i="35"/>
  <c r="AP67" i="35" s="1"/>
  <c r="AO53" i="35"/>
  <c r="AP53" i="35" s="1"/>
  <c r="AO64" i="35"/>
  <c r="AP64" i="35" s="1"/>
  <c r="AO56" i="35"/>
  <c r="AP56" i="35" s="1"/>
  <c r="DA217" i="39"/>
  <c r="A17" i="40"/>
  <c r="BI11" i="39"/>
  <c r="BN14" i="39"/>
  <c r="DA214" i="46"/>
  <c r="A14" i="46"/>
  <c r="A60" i="47"/>
  <c r="BN11" i="46"/>
  <c r="BI8" i="46"/>
  <c r="AW45" i="34"/>
  <c r="AW44" i="34" s="1"/>
  <c r="AL25" i="34" s="1"/>
  <c r="AN24" i="34"/>
  <c r="AM24" i="34"/>
  <c r="AW30" i="34" s="1"/>
  <c r="AT30" i="34" s="1"/>
  <c r="AO85" i="34"/>
  <c r="AT83" i="34" s="1"/>
  <c r="AU30" i="34"/>
  <c r="AV30" i="34" s="1"/>
  <c r="DE219" i="41" l="1"/>
  <c r="V19" i="46"/>
  <c r="V19" i="47"/>
  <c r="V19" i="45"/>
  <c r="F65" i="47"/>
  <c r="V19" i="44"/>
  <c r="V19" i="43"/>
  <c r="F65" i="46"/>
  <c r="F65" i="48"/>
  <c r="F65" i="44"/>
  <c r="F65" i="43"/>
  <c r="F65" i="50"/>
  <c r="F65" i="45"/>
  <c r="V19" i="48"/>
  <c r="V19" i="50"/>
  <c r="V19" i="49"/>
  <c r="F65" i="49"/>
  <c r="DE218" i="41"/>
  <c r="V18" i="48"/>
  <c r="V18" i="49"/>
  <c r="V18" i="44"/>
  <c r="V18" i="50"/>
  <c r="F64" i="46"/>
  <c r="F64" i="43"/>
  <c r="V18" i="47"/>
  <c r="F64" i="47"/>
  <c r="F64" i="45"/>
  <c r="F64" i="49"/>
  <c r="F64" i="50"/>
  <c r="V18" i="43"/>
  <c r="F64" i="48"/>
  <c r="V18" i="45"/>
  <c r="V18" i="46"/>
  <c r="F64" i="44"/>
  <c r="DE216" i="41"/>
  <c r="V16" i="49"/>
  <c r="F62" i="49"/>
  <c r="V16" i="50"/>
  <c r="F62" i="50"/>
  <c r="F62" i="47"/>
  <c r="V16" i="45"/>
  <c r="V16" i="47"/>
  <c r="F62" i="48"/>
  <c r="F62" i="45"/>
  <c r="F62" i="44"/>
  <c r="V16" i="44"/>
  <c r="V16" i="46"/>
  <c r="F62" i="43"/>
  <c r="V16" i="48"/>
  <c r="V16" i="43"/>
  <c r="F62" i="46"/>
  <c r="DE213" i="41"/>
  <c r="F59" i="47"/>
  <c r="V13" i="43"/>
  <c r="V13" i="48"/>
  <c r="F59" i="46"/>
  <c r="F59" i="43"/>
  <c r="V13" i="44"/>
  <c r="V13" i="45"/>
  <c r="F59" i="44"/>
  <c r="F59" i="50"/>
  <c r="F59" i="49"/>
  <c r="V13" i="47"/>
  <c r="V13" i="50"/>
  <c r="F59" i="48"/>
  <c r="F59" i="45"/>
  <c r="V13" i="49"/>
  <c r="V13" i="46"/>
  <c r="DE221" i="41"/>
  <c r="V21" i="47"/>
  <c r="F67" i="46"/>
  <c r="F67" i="43"/>
  <c r="F67" i="49"/>
  <c r="V21" i="49"/>
  <c r="F67" i="45"/>
  <c r="V21" i="46"/>
  <c r="V21" i="50"/>
  <c r="V21" i="45"/>
  <c r="F67" i="47"/>
  <c r="V21" i="48"/>
  <c r="V21" i="43"/>
  <c r="F67" i="44"/>
  <c r="V21" i="44"/>
  <c r="F67" i="50"/>
  <c r="F67" i="48"/>
  <c r="DE215" i="41"/>
  <c r="F61" i="48"/>
  <c r="F61" i="43"/>
  <c r="F61" i="49"/>
  <c r="F61" i="50"/>
  <c r="V15" i="50"/>
  <c r="F61" i="45"/>
  <c r="F61" i="46"/>
  <c r="V15" i="47"/>
  <c r="V15" i="46"/>
  <c r="V15" i="44"/>
  <c r="V15" i="43"/>
  <c r="F61" i="44"/>
  <c r="V15" i="45"/>
  <c r="V15" i="49"/>
  <c r="F61" i="47"/>
  <c r="V15" i="48"/>
  <c r="DE222" i="41"/>
  <c r="V22" i="47"/>
  <c r="V22" i="44"/>
  <c r="V22" i="48"/>
  <c r="V22" i="50"/>
  <c r="F68" i="43"/>
  <c r="F68" i="46"/>
  <c r="F68" i="45"/>
  <c r="F68" i="50"/>
  <c r="V22" i="45"/>
  <c r="F68" i="44"/>
  <c r="F68" i="48"/>
  <c r="F68" i="47"/>
  <c r="F68" i="49"/>
  <c r="V22" i="43"/>
  <c r="V22" i="46"/>
  <c r="V22" i="49"/>
  <c r="DE220" i="41"/>
  <c r="F66" i="47"/>
  <c r="F66" i="43"/>
  <c r="V20" i="44"/>
  <c r="F66" i="44"/>
  <c r="F66" i="48"/>
  <c r="F66" i="49"/>
  <c r="F66" i="46"/>
  <c r="V20" i="43"/>
  <c r="F66" i="45"/>
  <c r="V20" i="50"/>
  <c r="V20" i="49"/>
  <c r="V20" i="46"/>
  <c r="V20" i="48"/>
  <c r="F66" i="50"/>
  <c r="V20" i="47"/>
  <c r="V20" i="45"/>
  <c r="DE224" i="41"/>
  <c r="F70" i="48"/>
  <c r="F70" i="49"/>
  <c r="V24" i="45"/>
  <c r="F70" i="45"/>
  <c r="F70" i="46"/>
  <c r="V24" i="49"/>
  <c r="V24" i="46"/>
  <c r="F70" i="47"/>
  <c r="V24" i="50"/>
  <c r="V24" i="47"/>
  <c r="V24" i="43"/>
  <c r="V24" i="44"/>
  <c r="V24" i="48"/>
  <c r="F70" i="44"/>
  <c r="F70" i="50"/>
  <c r="F70" i="43"/>
  <c r="DE225" i="41"/>
  <c r="F71" i="50"/>
  <c r="F71" i="45"/>
  <c r="V25" i="47"/>
  <c r="V25" i="45"/>
  <c r="F71" i="48"/>
  <c r="V25" i="44"/>
  <c r="V25" i="49"/>
  <c r="F71" i="49"/>
  <c r="F71" i="43"/>
  <c r="V25" i="43"/>
  <c r="F71" i="47"/>
  <c r="V25" i="46"/>
  <c r="F71" i="46"/>
  <c r="V25" i="50"/>
  <c r="V25" i="48"/>
  <c r="F71" i="44"/>
  <c r="BK49" i="41"/>
  <c r="V11" i="41" s="1"/>
  <c r="BG25" i="41"/>
  <c r="BG27" i="41" s="1"/>
  <c r="BK70" i="41" s="1"/>
  <c r="DE214" i="41"/>
  <c r="F60" i="49"/>
  <c r="F60" i="47"/>
  <c r="F60" i="43"/>
  <c r="F60" i="45"/>
  <c r="V14" i="48"/>
  <c r="V14" i="46"/>
  <c r="F60" i="48"/>
  <c r="V14" i="45"/>
  <c r="V14" i="43"/>
  <c r="F60" i="46"/>
  <c r="F60" i="44"/>
  <c r="F60" i="50"/>
  <c r="V14" i="47"/>
  <c r="V14" i="49"/>
  <c r="V14" i="50"/>
  <c r="V14" i="44"/>
  <c r="DE223" i="41"/>
  <c r="V23" i="50"/>
  <c r="F69" i="44"/>
  <c r="F69" i="50"/>
  <c r="F69" i="43"/>
  <c r="V23" i="48"/>
  <c r="V23" i="49"/>
  <c r="V23" i="44"/>
  <c r="V23" i="46"/>
  <c r="V23" i="47"/>
  <c r="F69" i="49"/>
  <c r="V23" i="43"/>
  <c r="V23" i="45"/>
  <c r="F69" i="46"/>
  <c r="F69" i="48"/>
  <c r="F69" i="45"/>
  <c r="F69" i="47"/>
  <c r="V27" i="49"/>
  <c r="F73" i="44"/>
  <c r="V27" i="48"/>
  <c r="F73" i="46"/>
  <c r="F73" i="47"/>
  <c r="DE227" i="41"/>
  <c r="V27" i="45"/>
  <c r="F73" i="43"/>
  <c r="V27" i="46"/>
  <c r="F73" i="48"/>
  <c r="F73" i="45"/>
  <c r="F73" i="49"/>
  <c r="F73" i="50"/>
  <c r="V27" i="50"/>
  <c r="V27" i="44"/>
  <c r="V27" i="47"/>
  <c r="V27" i="43"/>
  <c r="F72" i="48"/>
  <c r="V26" i="44"/>
  <c r="F72" i="47"/>
  <c r="F72" i="46"/>
  <c r="DE226" i="41"/>
  <c r="V26" i="50"/>
  <c r="F72" i="50"/>
  <c r="V26" i="48"/>
  <c r="F72" i="45"/>
  <c r="V26" i="45"/>
  <c r="V26" i="46"/>
  <c r="F72" i="43"/>
  <c r="V26" i="47"/>
  <c r="F72" i="44"/>
  <c r="V26" i="43"/>
  <c r="V26" i="49"/>
  <c r="F72" i="49"/>
  <c r="DE217" i="41"/>
  <c r="V17" i="49"/>
  <c r="F63" i="47"/>
  <c r="V17" i="43"/>
  <c r="F63" i="44"/>
  <c r="V17" i="47"/>
  <c r="V17" i="45"/>
  <c r="V17" i="46"/>
  <c r="V17" i="48"/>
  <c r="F63" i="43"/>
  <c r="V17" i="44"/>
  <c r="F63" i="48"/>
  <c r="F63" i="49"/>
  <c r="F63" i="46"/>
  <c r="F63" i="45"/>
  <c r="F63" i="50"/>
  <c r="V17" i="50"/>
  <c r="DE212" i="41"/>
  <c r="V12" i="50"/>
  <c r="V12" i="47"/>
  <c r="V12" i="48"/>
  <c r="F58" i="44"/>
  <c r="F58" i="50"/>
  <c r="F58" i="47"/>
  <c r="V12" i="44"/>
  <c r="F58" i="45"/>
  <c r="F58" i="43"/>
  <c r="V12" i="46"/>
  <c r="V12" i="49"/>
  <c r="F58" i="48"/>
  <c r="V12" i="43"/>
  <c r="F58" i="49"/>
  <c r="F58" i="46"/>
  <c r="V12" i="45"/>
  <c r="AE45" i="41"/>
  <c r="AC46" i="41"/>
  <c r="AO49" i="41"/>
  <c r="AP49" i="41" s="1"/>
  <c r="AN46" i="41"/>
  <c r="AL21" i="41" s="1"/>
  <c r="AO48" i="41"/>
  <c r="AP48" i="41" s="1"/>
  <c r="AO51" i="41"/>
  <c r="AP51" i="41" s="1"/>
  <c r="AO52" i="41"/>
  <c r="AP52" i="41" s="1"/>
  <c r="AO55" i="41"/>
  <c r="AP55" i="41" s="1"/>
  <c r="AO54" i="41"/>
  <c r="AP54" i="41" s="1"/>
  <c r="AN24" i="40"/>
  <c r="AM24" i="40"/>
  <c r="AO85" i="40"/>
  <c r="AT85" i="40" s="1"/>
  <c r="AU30" i="40"/>
  <c r="AV30" i="40" s="1"/>
  <c r="K31" i="35"/>
  <c r="J31" i="48"/>
  <c r="DE231" i="35"/>
  <c r="J31" i="46"/>
  <c r="J31" i="43"/>
  <c r="J31" i="49"/>
  <c r="J31" i="36"/>
  <c r="J31" i="39"/>
  <c r="J31" i="38"/>
  <c r="J31" i="45"/>
  <c r="J31" i="47"/>
  <c r="J31" i="40"/>
  <c r="J31" i="41"/>
  <c r="J31" i="50"/>
  <c r="J31" i="37"/>
  <c r="J31" i="44"/>
  <c r="AC45" i="35"/>
  <c r="AE44" i="35"/>
  <c r="BG12" i="35"/>
  <c r="BK56" i="35" s="1"/>
  <c r="J18" i="35" s="1"/>
  <c r="K18" i="35" s="1"/>
  <c r="BG9" i="35"/>
  <c r="BK53" i="35" s="1"/>
  <c r="J15" i="35" s="1"/>
  <c r="K15" i="35" s="1"/>
  <c r="BG11" i="35"/>
  <c r="BK55" i="35" s="1"/>
  <c r="J17" i="35" s="1"/>
  <c r="K17" i="35" s="1"/>
  <c r="BG6" i="35"/>
  <c r="BK50" i="35" s="1"/>
  <c r="J12" i="35" s="1"/>
  <c r="K12" i="35" s="1"/>
  <c r="BG16" i="35"/>
  <c r="BK60" i="35" s="1"/>
  <c r="J22" i="35" s="1"/>
  <c r="K22" i="35" s="1"/>
  <c r="BG23" i="35"/>
  <c r="BK67" i="35" s="1"/>
  <c r="BG21" i="35"/>
  <c r="BK65" i="35" s="1"/>
  <c r="J27" i="35" s="1"/>
  <c r="K27" i="35" s="1"/>
  <c r="BG10" i="35"/>
  <c r="BK54" i="35" s="1"/>
  <c r="J16" i="35" s="1"/>
  <c r="K16" i="35" s="1"/>
  <c r="BG20" i="35"/>
  <c r="BK64" i="35" s="1"/>
  <c r="J26" i="35" s="1"/>
  <c r="K26" i="35" s="1"/>
  <c r="BG13" i="35"/>
  <c r="BK57" i="35" s="1"/>
  <c r="J19" i="35" s="1"/>
  <c r="K19" i="35" s="1"/>
  <c r="BG15" i="35"/>
  <c r="BK59" i="35" s="1"/>
  <c r="J21" i="35" s="1"/>
  <c r="K21" i="35" s="1"/>
  <c r="BG14" i="35"/>
  <c r="BK58" i="35" s="1"/>
  <c r="J20" i="35" s="1"/>
  <c r="K20" i="35" s="1"/>
  <c r="BG17" i="35"/>
  <c r="BK61" i="35" s="1"/>
  <c r="J23" i="35" s="1"/>
  <c r="K23" i="35" s="1"/>
  <c r="BG18" i="35"/>
  <c r="BK62" i="35" s="1"/>
  <c r="J24" i="35" s="1"/>
  <c r="K24" i="35" s="1"/>
  <c r="BG8" i="35"/>
  <c r="BK52" i="35" s="1"/>
  <c r="J14" i="35" s="1"/>
  <c r="K14" i="35" s="1"/>
  <c r="BG7" i="35"/>
  <c r="BK51" i="35" s="1"/>
  <c r="J13" i="35" s="1"/>
  <c r="K13" i="35" s="1"/>
  <c r="BG19" i="35"/>
  <c r="BK63" i="35" s="1"/>
  <c r="J25" i="35" s="1"/>
  <c r="K25" i="35" s="1"/>
  <c r="BG5" i="35"/>
  <c r="BG24" i="35"/>
  <c r="BK68" i="35" s="1"/>
  <c r="BG22" i="35"/>
  <c r="BK66" i="35" s="1"/>
  <c r="DA217" i="40"/>
  <c r="BN14" i="40"/>
  <c r="BI11" i="40"/>
  <c r="A17" i="41"/>
  <c r="AP47" i="35"/>
  <c r="AQ55" i="35"/>
  <c r="AR55" i="35" s="1"/>
  <c r="AQ62" i="35"/>
  <c r="AR62" i="35" s="1"/>
  <c r="AQ54" i="35"/>
  <c r="AR54" i="35" s="1"/>
  <c r="AM21" i="35"/>
  <c r="AN21" i="35"/>
  <c r="AO20" i="35"/>
  <c r="AQ63" i="35"/>
  <c r="AR63" i="35" s="1"/>
  <c r="AR24" i="34"/>
  <c r="AR86" i="34" s="1"/>
  <c r="AQ24" i="34"/>
  <c r="AQ86" i="34" s="1"/>
  <c r="AO24" i="34"/>
  <c r="AN25" i="34"/>
  <c r="AM25" i="34"/>
  <c r="AW31" i="34" s="1"/>
  <c r="AT31" i="34" s="1"/>
  <c r="DA214" i="47"/>
  <c r="BI8" i="47"/>
  <c r="A60" i="48"/>
  <c r="A14" i="47"/>
  <c r="BN11" i="47"/>
  <c r="AP47" i="41" l="1"/>
  <c r="AQ48" i="41"/>
  <c r="AR48" i="41" s="1"/>
  <c r="AN21" i="41"/>
  <c r="AM21" i="41"/>
  <c r="AO20" i="41"/>
  <c r="AQ49" i="41"/>
  <c r="AR49" i="41" s="1"/>
  <c r="AC47" i="41"/>
  <c r="AE46" i="41"/>
  <c r="DE211" i="41"/>
  <c r="F57" i="43"/>
  <c r="F57" i="50"/>
  <c r="V11" i="45"/>
  <c r="F57" i="45"/>
  <c r="F57" i="44"/>
  <c r="F57" i="49"/>
  <c r="V11" i="44"/>
  <c r="F57" i="46"/>
  <c r="F57" i="47"/>
  <c r="V11" i="49"/>
  <c r="V11" i="50"/>
  <c r="V11" i="47"/>
  <c r="V11" i="48"/>
  <c r="V11" i="46"/>
  <c r="F57" i="48"/>
  <c r="V11" i="43"/>
  <c r="AW30" i="40"/>
  <c r="AT30" i="40" s="1"/>
  <c r="AM25" i="40"/>
  <c r="AW31" i="40" s="1"/>
  <c r="AT31" i="40" s="1"/>
  <c r="AQ24" i="40"/>
  <c r="AQ86" i="40" s="1"/>
  <c r="AO24" i="40"/>
  <c r="AR24" i="40"/>
  <c r="AR86" i="40" s="1"/>
  <c r="AN25" i="40"/>
  <c r="DF231" i="35"/>
  <c r="K31" i="40"/>
  <c r="K31" i="37"/>
  <c r="K31" i="39"/>
  <c r="K31" i="48"/>
  <c r="K31" i="45"/>
  <c r="K31" i="49"/>
  <c r="K31" i="38"/>
  <c r="K31" i="46"/>
  <c r="K31" i="41"/>
  <c r="K31" i="44"/>
  <c r="K31" i="36"/>
  <c r="K31" i="50"/>
  <c r="K31" i="47"/>
  <c r="K31" i="43"/>
  <c r="DF225" i="35"/>
  <c r="K25" i="49"/>
  <c r="K25" i="43"/>
  <c r="K25" i="50"/>
  <c r="K25" i="47"/>
  <c r="K25" i="46"/>
  <c r="K25" i="37"/>
  <c r="K25" i="41"/>
  <c r="K25" i="48"/>
  <c r="K25" i="45"/>
  <c r="K25" i="39"/>
  <c r="K25" i="44"/>
  <c r="K25" i="40"/>
  <c r="K25" i="38"/>
  <c r="K25" i="36"/>
  <c r="AA28" i="36" s="1"/>
  <c r="A25" i="35"/>
  <c r="DF213" i="35"/>
  <c r="K13" i="36"/>
  <c r="K13" i="45"/>
  <c r="K13" i="47"/>
  <c r="K13" i="50"/>
  <c r="K13" i="44"/>
  <c r="K13" i="46"/>
  <c r="K13" i="39"/>
  <c r="K13" i="40"/>
  <c r="K13" i="43"/>
  <c r="K13" i="49"/>
  <c r="K13" i="37"/>
  <c r="K13" i="48"/>
  <c r="K13" i="41"/>
  <c r="K13" i="38"/>
  <c r="A13" i="35"/>
  <c r="DF214" i="35"/>
  <c r="K14" i="36"/>
  <c r="K14" i="46"/>
  <c r="K14" i="48"/>
  <c r="K14" i="47"/>
  <c r="K14" i="44"/>
  <c r="K14" i="49"/>
  <c r="K14" i="40"/>
  <c r="K14" i="37"/>
  <c r="K14" i="39"/>
  <c r="K14" i="43"/>
  <c r="K14" i="50"/>
  <c r="K14" i="38"/>
  <c r="K14" i="45"/>
  <c r="K14" i="41"/>
  <c r="DF224" i="35"/>
  <c r="K24" i="50"/>
  <c r="K24" i="44"/>
  <c r="K24" i="45"/>
  <c r="K24" i="43"/>
  <c r="K24" i="49"/>
  <c r="K24" i="48"/>
  <c r="K24" i="47"/>
  <c r="K24" i="46"/>
  <c r="K24" i="41"/>
  <c r="K24" i="40"/>
  <c r="K24" i="39"/>
  <c r="K24" i="36"/>
  <c r="AA27" i="36" s="1"/>
  <c r="K24" i="38"/>
  <c r="K24" i="37"/>
  <c r="A24" i="35"/>
  <c r="DF223" i="35"/>
  <c r="K23" i="36"/>
  <c r="AA26" i="36" s="1"/>
  <c r="K23" i="40"/>
  <c r="K23" i="50"/>
  <c r="K23" i="37"/>
  <c r="K23" i="44"/>
  <c r="K23" i="45"/>
  <c r="K23" i="46"/>
  <c r="K23" i="38"/>
  <c r="K23" i="41"/>
  <c r="K23" i="43"/>
  <c r="K23" i="48"/>
  <c r="K23" i="49"/>
  <c r="K23" i="39"/>
  <c r="K23" i="47"/>
  <c r="A23" i="35"/>
  <c r="DF220" i="35"/>
  <c r="K20" i="49"/>
  <c r="K20" i="44"/>
  <c r="K20" i="38"/>
  <c r="K20" i="43"/>
  <c r="K20" i="46"/>
  <c r="K20" i="37"/>
  <c r="K20" i="50"/>
  <c r="K20" i="41"/>
  <c r="K20" i="40"/>
  <c r="K20" i="47"/>
  <c r="K20" i="48"/>
  <c r="K20" i="39"/>
  <c r="K20" i="36"/>
  <c r="K20" i="45"/>
  <c r="A20" i="35"/>
  <c r="DF221" i="35"/>
  <c r="K21" i="44"/>
  <c r="K21" i="47"/>
  <c r="K21" i="45"/>
  <c r="K21" i="39"/>
  <c r="K21" i="36"/>
  <c r="AA24" i="36" s="1"/>
  <c r="K21" i="49"/>
  <c r="K21" i="50"/>
  <c r="K21" i="38"/>
  <c r="K21" i="48"/>
  <c r="K21" i="40"/>
  <c r="K21" i="46"/>
  <c r="K21" i="43"/>
  <c r="K21" i="41"/>
  <c r="K21" i="37"/>
  <c r="A21" i="35"/>
  <c r="DF219" i="35"/>
  <c r="K19" i="36"/>
  <c r="K19" i="46"/>
  <c r="K19" i="44"/>
  <c r="K19" i="37"/>
  <c r="K19" i="50"/>
  <c r="K19" i="47"/>
  <c r="K19" i="43"/>
  <c r="K19" i="49"/>
  <c r="K19" i="40"/>
  <c r="K19" i="38"/>
  <c r="K19" i="39"/>
  <c r="K19" i="41"/>
  <c r="K19" i="48"/>
  <c r="K19" i="45"/>
  <c r="A19" i="35"/>
  <c r="DF226" i="35"/>
  <c r="K26" i="48"/>
  <c r="K26" i="49"/>
  <c r="K26" i="47"/>
  <c r="K26" i="43"/>
  <c r="K26" i="45"/>
  <c r="K26" i="44"/>
  <c r="K26" i="50"/>
  <c r="K26" i="41"/>
  <c r="K26" i="46"/>
  <c r="K26" i="38"/>
  <c r="K26" i="37"/>
  <c r="K26" i="36"/>
  <c r="AA29" i="36" s="1"/>
  <c r="K26" i="40"/>
  <c r="K26" i="39"/>
  <c r="A26" i="35"/>
  <c r="DF216" i="35"/>
  <c r="K16" i="50"/>
  <c r="K16" i="40"/>
  <c r="K16" i="48"/>
  <c r="K16" i="44"/>
  <c r="K16" i="36"/>
  <c r="K16" i="43"/>
  <c r="K16" i="38"/>
  <c r="K16" i="39"/>
  <c r="K16" i="47"/>
  <c r="K16" i="45"/>
  <c r="K16" i="41"/>
  <c r="K16" i="46"/>
  <c r="K16" i="49"/>
  <c r="K16" i="37"/>
  <c r="A16" i="35"/>
  <c r="DF227" i="35"/>
  <c r="K27" i="44"/>
  <c r="K27" i="49"/>
  <c r="K27" i="46"/>
  <c r="K27" i="48"/>
  <c r="K27" i="50"/>
  <c r="K27" i="36"/>
  <c r="AA30" i="36" s="1"/>
  <c r="K27" i="43"/>
  <c r="K27" i="45"/>
  <c r="K27" i="47"/>
  <c r="K27" i="40"/>
  <c r="K27" i="39"/>
  <c r="K27" i="38"/>
  <c r="K27" i="37"/>
  <c r="K27" i="41"/>
  <c r="A27" i="35"/>
  <c r="DF222" i="35"/>
  <c r="K22" i="46"/>
  <c r="K22" i="39"/>
  <c r="K22" i="48"/>
  <c r="K22" i="41"/>
  <c r="K22" i="37"/>
  <c r="K22" i="38"/>
  <c r="K22" i="36"/>
  <c r="AA25" i="36" s="1"/>
  <c r="K22" i="47"/>
  <c r="K22" i="44"/>
  <c r="K22" i="50"/>
  <c r="K22" i="43"/>
  <c r="K22" i="45"/>
  <c r="K22" i="40"/>
  <c r="K22" i="49"/>
  <c r="A22" i="35"/>
  <c r="DF212" i="35"/>
  <c r="K12" i="48"/>
  <c r="K12" i="43"/>
  <c r="K12" i="37"/>
  <c r="K12" i="47"/>
  <c r="K12" i="41"/>
  <c r="K12" i="39"/>
  <c r="K12" i="44"/>
  <c r="K12" i="50"/>
  <c r="K12" i="46"/>
  <c r="K12" i="49"/>
  <c r="K12" i="36"/>
  <c r="K12" i="38"/>
  <c r="K12" i="45"/>
  <c r="K12" i="40"/>
  <c r="A12" i="35"/>
  <c r="DF217" i="35"/>
  <c r="K17" i="44"/>
  <c r="K17" i="41"/>
  <c r="K17" i="37"/>
  <c r="K17" i="46"/>
  <c r="K17" i="38"/>
  <c r="K17" i="39"/>
  <c r="K17" i="45"/>
  <c r="K17" i="47"/>
  <c r="K17" i="36"/>
  <c r="K17" i="49"/>
  <c r="K17" i="50"/>
  <c r="K17" i="40"/>
  <c r="K17" i="48"/>
  <c r="K17" i="43"/>
  <c r="DF215" i="35"/>
  <c r="K15" i="36"/>
  <c r="K15" i="46"/>
  <c r="K15" i="45"/>
  <c r="K15" i="39"/>
  <c r="K15" i="44"/>
  <c r="K15" i="49"/>
  <c r="K15" i="41"/>
  <c r="K15" i="47"/>
  <c r="K15" i="40"/>
  <c r="K15" i="43"/>
  <c r="K15" i="37"/>
  <c r="K15" i="50"/>
  <c r="K15" i="48"/>
  <c r="K15" i="38"/>
  <c r="DF218" i="35"/>
  <c r="K18" i="43"/>
  <c r="K18" i="49"/>
  <c r="K18" i="48"/>
  <c r="K18" i="47"/>
  <c r="K18" i="46"/>
  <c r="K18" i="45"/>
  <c r="K18" i="39"/>
  <c r="K18" i="44"/>
  <c r="K18" i="41"/>
  <c r="K18" i="38"/>
  <c r="K18" i="37"/>
  <c r="K18" i="36"/>
  <c r="K18" i="40"/>
  <c r="K18" i="50"/>
  <c r="A18" i="35"/>
  <c r="BK49" i="35"/>
  <c r="J11" i="35" s="1"/>
  <c r="K11" i="35" s="1"/>
  <c r="BG25" i="35"/>
  <c r="BG27" i="35" s="1"/>
  <c r="BK70" i="35" s="1"/>
  <c r="J25" i="36"/>
  <c r="J25" i="47"/>
  <c r="J25" i="37"/>
  <c r="J25" i="44"/>
  <c r="J25" i="48"/>
  <c r="J25" i="41"/>
  <c r="J25" i="49"/>
  <c r="DE225" i="35"/>
  <c r="J25" i="38"/>
  <c r="J25" i="39"/>
  <c r="J25" i="45"/>
  <c r="J25" i="43"/>
  <c r="J25" i="40"/>
  <c r="J25" i="50"/>
  <c r="J25" i="46"/>
  <c r="J13" i="41"/>
  <c r="J13" i="46"/>
  <c r="J13" i="49"/>
  <c r="J13" i="39"/>
  <c r="J13" i="45"/>
  <c r="J13" i="44"/>
  <c r="J13" i="48"/>
  <c r="J13" i="36"/>
  <c r="DE213" i="35"/>
  <c r="J13" i="47"/>
  <c r="J13" i="43"/>
  <c r="J13" i="38"/>
  <c r="J13" i="37"/>
  <c r="J13" i="40"/>
  <c r="J13" i="50"/>
  <c r="J14" i="41"/>
  <c r="J14" i="38"/>
  <c r="J14" i="49"/>
  <c r="J14" i="40"/>
  <c r="J14" i="39"/>
  <c r="J14" i="50"/>
  <c r="J14" i="47"/>
  <c r="J14" i="46"/>
  <c r="J14" i="44"/>
  <c r="DE214" i="35"/>
  <c r="J14" i="36"/>
  <c r="J14" i="45"/>
  <c r="J14" i="48"/>
  <c r="J14" i="43"/>
  <c r="J14" i="37"/>
  <c r="DE224" i="35"/>
  <c r="J24" i="48"/>
  <c r="J24" i="46"/>
  <c r="J24" i="43"/>
  <c r="J24" i="37"/>
  <c r="J24" i="50"/>
  <c r="J24" i="36"/>
  <c r="J24" i="38"/>
  <c r="J24" i="41"/>
  <c r="J24" i="44"/>
  <c r="J24" i="47"/>
  <c r="J24" i="45"/>
  <c r="J24" i="49"/>
  <c r="J24" i="40"/>
  <c r="J24" i="39"/>
  <c r="J23" i="45"/>
  <c r="J23" i="48"/>
  <c r="J23" i="41"/>
  <c r="J23" i="43"/>
  <c r="DE223" i="35"/>
  <c r="J23" i="50"/>
  <c r="J23" i="47"/>
  <c r="J23" i="38"/>
  <c r="J23" i="46"/>
  <c r="J23" i="40"/>
  <c r="J23" i="37"/>
  <c r="J23" i="49"/>
  <c r="J23" i="39"/>
  <c r="J23" i="36"/>
  <c r="J23" i="44"/>
  <c r="J20" i="40"/>
  <c r="J20" i="39"/>
  <c r="J20" i="50"/>
  <c r="J20" i="38"/>
  <c r="J20" i="48"/>
  <c r="J20" i="44"/>
  <c r="J20" i="46"/>
  <c r="J20" i="36"/>
  <c r="J20" i="41"/>
  <c r="J20" i="43"/>
  <c r="J20" i="37"/>
  <c r="DE220" i="35"/>
  <c r="J20" i="47"/>
  <c r="J20" i="45"/>
  <c r="J20" i="49"/>
  <c r="J21" i="39"/>
  <c r="J21" i="46"/>
  <c r="DE221" i="35"/>
  <c r="J21" i="45"/>
  <c r="J21" i="44"/>
  <c r="J21" i="47"/>
  <c r="J21" i="43"/>
  <c r="J21" i="41"/>
  <c r="J21" i="49"/>
  <c r="J21" i="40"/>
  <c r="J21" i="48"/>
  <c r="J21" i="37"/>
  <c r="J21" i="50"/>
  <c r="J21" i="38"/>
  <c r="J21" i="36"/>
  <c r="DE219" i="35"/>
  <c r="J19" i="50"/>
  <c r="J19" i="36"/>
  <c r="J19" i="38"/>
  <c r="J19" i="41"/>
  <c r="J19" i="46"/>
  <c r="J19" i="39"/>
  <c r="J19" i="40"/>
  <c r="J19" i="44"/>
  <c r="J19" i="37"/>
  <c r="J19" i="45"/>
  <c r="J19" i="48"/>
  <c r="J19" i="43"/>
  <c r="J19" i="47"/>
  <c r="J19" i="49"/>
  <c r="J26" i="38"/>
  <c r="DE226" i="35"/>
  <c r="J26" i="46"/>
  <c r="J26" i="49"/>
  <c r="J26" i="40"/>
  <c r="J26" i="36"/>
  <c r="J26" i="47"/>
  <c r="J26" i="39"/>
  <c r="J26" i="37"/>
  <c r="J26" i="43"/>
  <c r="J26" i="48"/>
  <c r="J26" i="45"/>
  <c r="J26" i="41"/>
  <c r="J26" i="44"/>
  <c r="J26" i="50"/>
  <c r="J16" i="47"/>
  <c r="J16" i="45"/>
  <c r="J16" i="44"/>
  <c r="J16" i="38"/>
  <c r="J16" i="49"/>
  <c r="J16" i="43"/>
  <c r="J16" i="41"/>
  <c r="J16" i="40"/>
  <c r="DE216" i="35"/>
  <c r="J16" i="39"/>
  <c r="J16" i="48"/>
  <c r="J16" i="46"/>
  <c r="J16" i="50"/>
  <c r="J16" i="36"/>
  <c r="J16" i="37"/>
  <c r="J27" i="49"/>
  <c r="J27" i="46"/>
  <c r="DE227" i="35"/>
  <c r="J27" i="40"/>
  <c r="J27" i="41"/>
  <c r="J27" i="37"/>
  <c r="J27" i="44"/>
  <c r="J27" i="47"/>
  <c r="J27" i="45"/>
  <c r="J27" i="48"/>
  <c r="J27" i="39"/>
  <c r="J27" i="50"/>
  <c r="J27" i="36"/>
  <c r="J27" i="38"/>
  <c r="J27" i="43"/>
  <c r="J22" i="43"/>
  <c r="DE222" i="35"/>
  <c r="J22" i="48"/>
  <c r="J22" i="44"/>
  <c r="J22" i="40"/>
  <c r="J22" i="46"/>
  <c r="J22" i="49"/>
  <c r="J22" i="36"/>
  <c r="J22" i="41"/>
  <c r="J22" i="45"/>
  <c r="J22" i="47"/>
  <c r="J22" i="38"/>
  <c r="J22" i="37"/>
  <c r="J22" i="39"/>
  <c r="J22" i="50"/>
  <c r="J12" i="43"/>
  <c r="J12" i="45"/>
  <c r="J12" i="39"/>
  <c r="J12" i="47"/>
  <c r="J12" i="37"/>
  <c r="J12" i="41"/>
  <c r="J12" i="40"/>
  <c r="J12" i="44"/>
  <c r="J12" i="48"/>
  <c r="DE212" i="35"/>
  <c r="J12" i="49"/>
  <c r="J12" i="50"/>
  <c r="J12" i="36"/>
  <c r="J12" i="38"/>
  <c r="J12" i="46"/>
  <c r="J17" i="43"/>
  <c r="J17" i="36"/>
  <c r="J17" i="37"/>
  <c r="J17" i="46"/>
  <c r="DE217" i="35"/>
  <c r="J17" i="47"/>
  <c r="J17" i="50"/>
  <c r="J17" i="40"/>
  <c r="J17" i="44"/>
  <c r="J17" i="49"/>
  <c r="J17" i="39"/>
  <c r="J17" i="38"/>
  <c r="J17" i="41"/>
  <c r="J17" i="45"/>
  <c r="J17" i="48"/>
  <c r="J15" i="36"/>
  <c r="J15" i="41"/>
  <c r="J15" i="44"/>
  <c r="J15" i="43"/>
  <c r="J15" i="46"/>
  <c r="J15" i="40"/>
  <c r="J15" i="48"/>
  <c r="J15" i="50"/>
  <c r="J15" i="37"/>
  <c r="J15" i="47"/>
  <c r="DE215" i="35"/>
  <c r="J15" i="38"/>
  <c r="J15" i="49"/>
  <c r="J15" i="45"/>
  <c r="J15" i="39"/>
  <c r="DE218" i="35"/>
  <c r="J18" i="36"/>
  <c r="J18" i="50"/>
  <c r="J18" i="40"/>
  <c r="J18" i="49"/>
  <c r="J18" i="48"/>
  <c r="J18" i="38"/>
  <c r="J18" i="41"/>
  <c r="J18" i="37"/>
  <c r="J18" i="46"/>
  <c r="J18" i="47"/>
  <c r="J18" i="44"/>
  <c r="J18" i="45"/>
  <c r="J18" i="43"/>
  <c r="J18" i="39"/>
  <c r="AC46" i="35"/>
  <c r="AE45" i="35"/>
  <c r="AO82" i="35"/>
  <c r="AU27" i="35"/>
  <c r="AV27" i="35" s="1"/>
  <c r="AQ21" i="35"/>
  <c r="AQ83" i="35" s="1"/>
  <c r="AQ6" i="35"/>
  <c r="AR20" i="35"/>
  <c r="AR82" i="35" s="1"/>
  <c r="AW27" i="35"/>
  <c r="AT27" i="35" s="1"/>
  <c r="AQ66" i="35"/>
  <c r="AR66" i="35" s="1"/>
  <c r="AP46" i="35"/>
  <c r="AL22" i="35" s="1"/>
  <c r="AQ59" i="35"/>
  <c r="AR59" i="35" s="1"/>
  <c r="AQ50" i="35"/>
  <c r="AR50" i="35" s="1"/>
  <c r="AQ57" i="35"/>
  <c r="AR57" i="35" s="1"/>
  <c r="AQ49" i="35"/>
  <c r="AR49" i="35" s="1"/>
  <c r="AQ61" i="35"/>
  <c r="AR61" i="35" s="1"/>
  <c r="AQ60" i="35"/>
  <c r="AR60" i="35" s="1"/>
  <c r="AQ58" i="35"/>
  <c r="AR58" i="35" s="1"/>
  <c r="AQ65" i="35"/>
  <c r="AR65" i="35" s="1"/>
  <c r="AQ48" i="35"/>
  <c r="AR48" i="35" s="1"/>
  <c r="AQ56" i="35"/>
  <c r="AR56" i="35" s="1"/>
  <c r="AQ64" i="35"/>
  <c r="AR64" i="35" s="1"/>
  <c r="AQ53" i="35"/>
  <c r="AR53" i="35" s="1"/>
  <c r="AQ67" i="35"/>
  <c r="AR67" i="35" s="1"/>
  <c r="AQ52" i="35"/>
  <c r="AR52" i="35" s="1"/>
  <c r="AQ51" i="35"/>
  <c r="AR51" i="35" s="1"/>
  <c r="DA217" i="41"/>
  <c r="BI11" i="41"/>
  <c r="BN14" i="41"/>
  <c r="A63" i="43"/>
  <c r="DA214" i="48"/>
  <c r="A14" i="48"/>
  <c r="A60" i="49"/>
  <c r="BN11" i="48"/>
  <c r="BI8" i="48"/>
  <c r="AO25" i="34"/>
  <c r="AW32" i="34"/>
  <c r="AT32" i="34" s="1"/>
  <c r="AR25" i="34"/>
  <c r="AR87" i="34" s="1"/>
  <c r="AQ25" i="34"/>
  <c r="AQ87" i="34" s="1"/>
  <c r="AU31" i="34"/>
  <c r="AV31" i="34" s="1"/>
  <c r="AO86" i="34"/>
  <c r="AT84" i="34" s="1"/>
  <c r="AE47" i="41" l="1"/>
  <c r="AC48" i="41"/>
  <c r="AO82" i="41"/>
  <c r="AU27" i="41"/>
  <c r="AV27" i="41" s="1"/>
  <c r="AR20" i="41"/>
  <c r="AR82" i="41" s="1"/>
  <c r="AQ6" i="41"/>
  <c r="AW27" i="41"/>
  <c r="AT27" i="41" s="1"/>
  <c r="AO21" i="41"/>
  <c r="AQ21" i="41"/>
  <c r="AQ83" i="41" s="1"/>
  <c r="AR21" i="41"/>
  <c r="AR83" i="41" s="1"/>
  <c r="AQ52" i="41"/>
  <c r="AR52" i="41" s="1"/>
  <c r="AP46" i="41"/>
  <c r="AL22" i="41" s="1"/>
  <c r="AQ60" i="41"/>
  <c r="AR60" i="41" s="1"/>
  <c r="AQ67" i="41"/>
  <c r="AR67" i="41" s="1"/>
  <c r="AQ66" i="41"/>
  <c r="AR66" i="41" s="1"/>
  <c r="AQ65" i="41"/>
  <c r="AR65" i="41" s="1"/>
  <c r="AQ59" i="41"/>
  <c r="AR59" i="41" s="1"/>
  <c r="AQ58" i="41"/>
  <c r="AR58" i="41" s="1"/>
  <c r="AQ63" i="41"/>
  <c r="AR63" i="41" s="1"/>
  <c r="AQ61" i="41"/>
  <c r="AR61" i="41" s="1"/>
  <c r="AQ64" i="41"/>
  <c r="AR64" i="41" s="1"/>
  <c r="AQ62" i="41"/>
  <c r="AR62" i="41" s="1"/>
  <c r="AQ50" i="41"/>
  <c r="AR50" i="41" s="1"/>
  <c r="AQ53" i="41"/>
  <c r="AR53" i="41" s="1"/>
  <c r="AQ57" i="41"/>
  <c r="AR57" i="41" s="1"/>
  <c r="AQ56" i="41"/>
  <c r="AR56" i="41" s="1"/>
  <c r="AQ54" i="41"/>
  <c r="AR54" i="41" s="1"/>
  <c r="AQ55" i="41"/>
  <c r="AR55" i="41" s="1"/>
  <c r="AQ51" i="41"/>
  <c r="AR51" i="41" s="1"/>
  <c r="AW32" i="40"/>
  <c r="AT32" i="40" s="1"/>
  <c r="AQ25" i="40"/>
  <c r="AQ87" i="40" s="1"/>
  <c r="AO25" i="40"/>
  <c r="AR25" i="40"/>
  <c r="AR87" i="40" s="1"/>
  <c r="AU31" i="40"/>
  <c r="AV31" i="40" s="1"/>
  <c r="AO86" i="40"/>
  <c r="AT86" i="40" s="1"/>
  <c r="DF211" i="35"/>
  <c r="K11" i="40"/>
  <c r="K11" i="38"/>
  <c r="K11" i="37"/>
  <c r="K32" i="35"/>
  <c r="K11" i="44"/>
  <c r="K11" i="41"/>
  <c r="K11" i="47"/>
  <c r="K11" i="48"/>
  <c r="K11" i="43"/>
  <c r="K11" i="36"/>
  <c r="K11" i="50"/>
  <c r="K11" i="45"/>
  <c r="K11" i="39"/>
  <c r="K11" i="49"/>
  <c r="K11" i="46"/>
  <c r="DA218" i="35"/>
  <c r="BI12" i="35"/>
  <c r="BN15" i="35"/>
  <c r="AA21" i="36"/>
  <c r="BJ12" i="36"/>
  <c r="AA18" i="36"/>
  <c r="BJ9" i="36"/>
  <c r="AA20" i="36"/>
  <c r="BJ11" i="36"/>
  <c r="DA212" i="35"/>
  <c r="BI6" i="35"/>
  <c r="BN9" i="35"/>
  <c r="AA15" i="36"/>
  <c r="BJ6" i="36"/>
  <c r="DA222" i="35"/>
  <c r="BN19" i="35"/>
  <c r="BI16" i="35"/>
  <c r="AE25" i="36"/>
  <c r="AF25" i="36" s="1"/>
  <c r="AG25" i="36" s="1"/>
  <c r="AK59" i="36"/>
  <c r="AL59" i="36" s="1"/>
  <c r="BO19" i="36"/>
  <c r="AC25" i="36"/>
  <c r="DA227" i="35"/>
  <c r="BI21" i="35"/>
  <c r="BN24" i="35"/>
  <c r="AE30" i="36"/>
  <c r="AF30" i="36" s="1"/>
  <c r="AG30" i="36" s="1"/>
  <c r="AK64" i="36"/>
  <c r="AL64" i="36" s="1"/>
  <c r="BO24" i="36"/>
  <c r="AC30" i="36"/>
  <c r="DA216" i="35"/>
  <c r="BI10" i="35"/>
  <c r="BN13" i="35"/>
  <c r="AA19" i="36"/>
  <c r="BJ10" i="36"/>
  <c r="DA226" i="35"/>
  <c r="BI20" i="35"/>
  <c r="BN23" i="35"/>
  <c r="AE29" i="36"/>
  <c r="AF29" i="36" s="1"/>
  <c r="AG29" i="36" s="1"/>
  <c r="BO23" i="36"/>
  <c r="AK63" i="36"/>
  <c r="AL63" i="36" s="1"/>
  <c r="AC29" i="36"/>
  <c r="DA219" i="35"/>
  <c r="BI13" i="35"/>
  <c r="BN16" i="35"/>
  <c r="AA22" i="36"/>
  <c r="BJ13" i="36"/>
  <c r="DA221" i="35"/>
  <c r="BI15" i="35"/>
  <c r="BN18" i="35"/>
  <c r="AE24" i="36"/>
  <c r="AF24" i="36" s="1"/>
  <c r="AG24" i="36" s="1"/>
  <c r="AC24" i="36"/>
  <c r="AK58" i="36"/>
  <c r="AL58" i="36" s="1"/>
  <c r="BO18" i="36"/>
  <c r="DA220" i="35"/>
  <c r="BI14" i="35"/>
  <c r="BN17" i="35"/>
  <c r="AA23" i="36"/>
  <c r="BJ14" i="36"/>
  <c r="DA223" i="35"/>
  <c r="BI17" i="35"/>
  <c r="BN20" i="35"/>
  <c r="AE26" i="36"/>
  <c r="AF26" i="36" s="1"/>
  <c r="AG26" i="36" s="1"/>
  <c r="AC26" i="36"/>
  <c r="BO20" i="36"/>
  <c r="AK60" i="36"/>
  <c r="AL60" i="36" s="1"/>
  <c r="DA224" i="35"/>
  <c r="BN21" i="35"/>
  <c r="BI18" i="35"/>
  <c r="AE27" i="36"/>
  <c r="AF27" i="36" s="1"/>
  <c r="AG27" i="36" s="1"/>
  <c r="AC27" i="36"/>
  <c r="AK61" i="36"/>
  <c r="AL61" i="36" s="1"/>
  <c r="BO21" i="36"/>
  <c r="AA17" i="36"/>
  <c r="BJ8" i="36"/>
  <c r="DA213" i="35"/>
  <c r="BN10" i="35"/>
  <c r="BI7" i="35"/>
  <c r="AA16" i="36"/>
  <c r="BJ7" i="36"/>
  <c r="DA225" i="35"/>
  <c r="BN22" i="35"/>
  <c r="BI19" i="35"/>
  <c r="AE28" i="36"/>
  <c r="AF28" i="36" s="1"/>
  <c r="AG28" i="36" s="1"/>
  <c r="BO22" i="36"/>
  <c r="AK62" i="36"/>
  <c r="AL62" i="36" s="1"/>
  <c r="AC28" i="36"/>
  <c r="AE46" i="35"/>
  <c r="AC47" i="35"/>
  <c r="DE211" i="35"/>
  <c r="J11" i="43"/>
  <c r="J11" i="41"/>
  <c r="J11" i="49"/>
  <c r="J11" i="39"/>
  <c r="J11" i="37"/>
  <c r="J11" i="44"/>
  <c r="J11" i="45"/>
  <c r="J11" i="40"/>
  <c r="J11" i="38"/>
  <c r="J11" i="46"/>
  <c r="J11" i="50"/>
  <c r="J11" i="48"/>
  <c r="J11" i="47"/>
  <c r="J11" i="36"/>
  <c r="DA217" i="43"/>
  <c r="BI11" i="43"/>
  <c r="BN14" i="43"/>
  <c r="A63" i="44"/>
  <c r="AR47" i="35"/>
  <c r="AT48" i="35"/>
  <c r="AU48" i="35" s="1"/>
  <c r="AT65" i="35"/>
  <c r="AU65" i="35" s="1"/>
  <c r="AT60" i="35"/>
  <c r="AU60" i="35" s="1"/>
  <c r="AT61" i="35"/>
  <c r="AU61" i="35" s="1"/>
  <c r="AT49" i="35"/>
  <c r="AU49" i="35" s="1"/>
  <c r="AT57" i="35"/>
  <c r="AU57" i="35" s="1"/>
  <c r="AT50" i="35"/>
  <c r="AU50" i="35" s="1"/>
  <c r="AT59" i="35"/>
  <c r="AU59" i="35" s="1"/>
  <c r="AO21" i="35"/>
  <c r="AN22" i="35"/>
  <c r="AM22" i="35"/>
  <c r="AT66" i="35"/>
  <c r="AU66" i="35" s="1"/>
  <c r="AT82" i="35"/>
  <c r="AO87" i="34"/>
  <c r="AT85" i="34" s="1"/>
  <c r="AT87" i="34" s="1"/>
  <c r="AQ9" i="34" s="1"/>
  <c r="AU32" i="34"/>
  <c r="AV32" i="34" s="1"/>
  <c r="AV26" i="34" s="1"/>
  <c r="DA214" i="49"/>
  <c r="BN11" i="49"/>
  <c r="BI8" i="49"/>
  <c r="A60" i="50"/>
  <c r="A14" i="49"/>
  <c r="AR47" i="41" l="1"/>
  <c r="AT62" i="41"/>
  <c r="AU62" i="41" s="1"/>
  <c r="AT64" i="41"/>
  <c r="AU64" i="41" s="1"/>
  <c r="AT61" i="41"/>
  <c r="AU61" i="41" s="1"/>
  <c r="AT63" i="41"/>
  <c r="AU63" i="41" s="1"/>
  <c r="AT58" i="41"/>
  <c r="AU58" i="41" s="1"/>
  <c r="AT59" i="41"/>
  <c r="AU59" i="41" s="1"/>
  <c r="AT66" i="41"/>
  <c r="AU66" i="41" s="1"/>
  <c r="AT67" i="41"/>
  <c r="AU67" i="41" s="1"/>
  <c r="AT60" i="41"/>
  <c r="AU60" i="41" s="1"/>
  <c r="AN22" i="41"/>
  <c r="AM22" i="41"/>
  <c r="AW28" i="41" s="1"/>
  <c r="AT28" i="41" s="1"/>
  <c r="AT52" i="41"/>
  <c r="AU52" i="41" s="1"/>
  <c r="AU28" i="41"/>
  <c r="AV28" i="41" s="1"/>
  <c r="AO83" i="41"/>
  <c r="AT83" i="41" s="1"/>
  <c r="AT82" i="41"/>
  <c r="AC49" i="41"/>
  <c r="AE48" i="41"/>
  <c r="AO87" i="40"/>
  <c r="AT87" i="40" s="1"/>
  <c r="AT89" i="40" s="1"/>
  <c r="AQ9" i="40" s="1"/>
  <c r="AU32" i="40"/>
  <c r="AV32" i="40" s="1"/>
  <c r="AV26" i="40" s="1"/>
  <c r="AE16" i="36"/>
  <c r="AF16" i="36" s="1"/>
  <c r="AG16" i="36" s="1"/>
  <c r="BO10" i="36"/>
  <c r="AC16" i="36"/>
  <c r="AK50" i="36"/>
  <c r="AL50" i="36" s="1"/>
  <c r="AE17" i="36"/>
  <c r="AC17" i="36"/>
  <c r="AK51" i="36"/>
  <c r="AL51" i="36" s="1"/>
  <c r="BO11" i="36"/>
  <c r="AE23" i="36"/>
  <c r="AF23" i="36" s="1"/>
  <c r="AG23" i="36" s="1"/>
  <c r="BO17" i="36"/>
  <c r="AC23" i="36"/>
  <c r="AK57" i="36"/>
  <c r="AL57" i="36" s="1"/>
  <c r="AE22" i="36"/>
  <c r="AF22" i="36" s="1"/>
  <c r="AG22" i="36" s="1"/>
  <c r="AC22" i="36"/>
  <c r="BO16" i="36"/>
  <c r="AK56" i="36"/>
  <c r="AL56" i="36" s="1"/>
  <c r="AE19" i="36"/>
  <c r="AF19" i="36" s="1"/>
  <c r="AG19" i="36" s="1"/>
  <c r="AK53" i="36"/>
  <c r="AL53" i="36" s="1"/>
  <c r="AC19" i="36"/>
  <c r="BO13" i="36"/>
  <c r="AE15" i="36"/>
  <c r="AF15" i="36" s="1"/>
  <c r="AG15" i="36" s="1"/>
  <c r="AK49" i="36"/>
  <c r="AL49" i="36" s="1"/>
  <c r="BO9" i="36"/>
  <c r="AC15" i="36"/>
  <c r="AE20" i="36"/>
  <c r="AF20" i="36" s="1"/>
  <c r="AG20" i="36" s="1"/>
  <c r="AK54" i="36"/>
  <c r="AL54" i="36" s="1"/>
  <c r="AC20" i="36"/>
  <c r="BO14" i="36"/>
  <c r="AE18" i="36"/>
  <c r="AK52" i="36"/>
  <c r="AL52" i="36" s="1"/>
  <c r="BO12" i="36"/>
  <c r="AC18" i="36"/>
  <c r="AE21" i="36"/>
  <c r="AF21" i="36" s="1"/>
  <c r="AG21" i="36" s="1"/>
  <c r="AK55" i="36"/>
  <c r="AL55" i="36" s="1"/>
  <c r="AC21" i="36"/>
  <c r="BO15" i="36"/>
  <c r="BJ5" i="36"/>
  <c r="AA14" i="36"/>
  <c r="K32" i="36"/>
  <c r="K33" i="36" s="1"/>
  <c r="DF232" i="35"/>
  <c r="K32" i="47"/>
  <c r="K33" i="47" s="1"/>
  <c r="K32" i="38"/>
  <c r="K33" i="38" s="1"/>
  <c r="K32" i="46"/>
  <c r="K33" i="46" s="1"/>
  <c r="K32" i="44"/>
  <c r="K33" i="44" s="1"/>
  <c r="K32" i="50"/>
  <c r="K33" i="50" s="1"/>
  <c r="K32" i="40"/>
  <c r="K33" i="40" s="1"/>
  <c r="K32" i="43"/>
  <c r="K33" i="43" s="1"/>
  <c r="K32" i="48"/>
  <c r="K33" i="48" s="1"/>
  <c r="K32" i="45"/>
  <c r="K33" i="45" s="1"/>
  <c r="K32" i="49"/>
  <c r="K33" i="49" s="1"/>
  <c r="K32" i="39"/>
  <c r="K33" i="39" s="1"/>
  <c r="K32" i="37"/>
  <c r="K33" i="37" s="1"/>
  <c r="K33" i="35"/>
  <c r="U4" i="35" s="1"/>
  <c r="K32" i="41"/>
  <c r="K33" i="41" s="1"/>
  <c r="AC48" i="35"/>
  <c r="AE47" i="35"/>
  <c r="AW28" i="35"/>
  <c r="AT28" i="35" s="1"/>
  <c r="AR21" i="35"/>
  <c r="AR83" i="35" s="1"/>
  <c r="AQ22" i="35"/>
  <c r="AQ84" i="35" s="1"/>
  <c r="AO22" i="35"/>
  <c r="AR22" i="35"/>
  <c r="AR84" i="35" s="1"/>
  <c r="AU28" i="35"/>
  <c r="AV28" i="35" s="1"/>
  <c r="AO83" i="35"/>
  <c r="AT83" i="35" s="1"/>
  <c r="AT58" i="35"/>
  <c r="AU58" i="35" s="1"/>
  <c r="AR46" i="35"/>
  <c r="AL23" i="35" s="1"/>
  <c r="AT63" i="35"/>
  <c r="AU63" i="35" s="1"/>
  <c r="AT54" i="35"/>
  <c r="AU54" i="35" s="1"/>
  <c r="AT62" i="35"/>
  <c r="AU62" i="35" s="1"/>
  <c r="AT55" i="35"/>
  <c r="AU55" i="35" s="1"/>
  <c r="AT51" i="35"/>
  <c r="AU51" i="35" s="1"/>
  <c r="AT52" i="35"/>
  <c r="AU52" i="35" s="1"/>
  <c r="AT67" i="35"/>
  <c r="AU67" i="35" s="1"/>
  <c r="AT53" i="35"/>
  <c r="AU53" i="35" s="1"/>
  <c r="AT64" i="35"/>
  <c r="AU64" i="35" s="1"/>
  <c r="AT56" i="35"/>
  <c r="AU56" i="35" s="1"/>
  <c r="DA217" i="44"/>
  <c r="A63" i="45"/>
  <c r="BN14" i="44"/>
  <c r="BI11" i="44"/>
  <c r="A17" i="44"/>
  <c r="DA214" i="50"/>
  <c r="BN11" i="50"/>
  <c r="BI8" i="50"/>
  <c r="A14" i="50"/>
  <c r="AE49" i="41" l="1"/>
  <c r="AC50" i="41"/>
  <c r="AO22" i="41"/>
  <c r="AR22" i="41"/>
  <c r="AR84" i="41" s="1"/>
  <c r="AQ22" i="41"/>
  <c r="AQ84" i="41" s="1"/>
  <c r="AT65" i="41"/>
  <c r="AU65" i="41" s="1"/>
  <c r="AR46" i="41"/>
  <c r="AL23" i="41" s="1"/>
  <c r="AT49" i="41"/>
  <c r="AU49" i="41" s="1"/>
  <c r="AT48" i="41"/>
  <c r="AU48" i="41" s="1"/>
  <c r="AT51" i="41"/>
  <c r="AU51" i="41" s="1"/>
  <c r="AT55" i="41"/>
  <c r="AU55" i="41" s="1"/>
  <c r="AT54" i="41"/>
  <c r="AU54" i="41" s="1"/>
  <c r="AT56" i="41"/>
  <c r="AU56" i="41" s="1"/>
  <c r="AT57" i="41"/>
  <c r="AU57" i="41" s="1"/>
  <c r="AT53" i="41"/>
  <c r="AU53" i="41" s="1"/>
  <c r="AT50" i="41"/>
  <c r="AU50" i="41" s="1"/>
  <c r="AE14" i="36"/>
  <c r="BO8" i="36"/>
  <c r="AC14" i="36"/>
  <c r="AK48" i="36"/>
  <c r="AL48" i="36" s="1"/>
  <c r="AF18" i="36"/>
  <c r="AG18" i="36" s="1"/>
  <c r="AF17" i="36"/>
  <c r="AG17" i="36" s="1"/>
  <c r="AE48" i="35"/>
  <c r="AC49" i="35"/>
  <c r="DA217" i="45"/>
  <c r="A17" i="45"/>
  <c r="A63" i="46"/>
  <c r="BI11" i="45"/>
  <c r="BN14" i="45"/>
  <c r="AU47" i="35"/>
  <c r="AV55" i="35"/>
  <c r="AW55" i="35" s="1"/>
  <c r="AV62" i="35"/>
  <c r="AW62" i="35" s="1"/>
  <c r="AV54" i="35"/>
  <c r="AW54" i="35" s="1"/>
  <c r="AV63" i="35"/>
  <c r="AW63" i="35" s="1"/>
  <c r="AN23" i="35"/>
  <c r="AM23" i="35"/>
  <c r="AW29" i="35" s="1"/>
  <c r="AT29" i="35" s="1"/>
  <c r="AV58" i="35"/>
  <c r="AW58" i="35" s="1"/>
  <c r="AU29" i="35"/>
  <c r="AV29" i="35" s="1"/>
  <c r="AO84" i="35"/>
  <c r="AT84" i="35" s="1"/>
  <c r="AU47" i="41" l="1"/>
  <c r="AV48" i="41"/>
  <c r="AW48" i="41" s="1"/>
  <c r="AV49" i="41"/>
  <c r="AW49" i="41" s="1"/>
  <c r="AM23" i="41"/>
  <c r="AW29" i="41" s="1"/>
  <c r="AT29" i="41" s="1"/>
  <c r="AN23" i="41"/>
  <c r="AV65" i="41"/>
  <c r="AW65" i="41" s="1"/>
  <c r="AO84" i="41"/>
  <c r="AT84" i="41" s="1"/>
  <c r="AU29" i="41"/>
  <c r="AV29" i="41" s="1"/>
  <c r="AE50" i="41"/>
  <c r="AC51" i="41"/>
  <c r="AL47" i="36"/>
  <c r="Z44" i="36" a="1"/>
  <c r="AF14" i="36"/>
  <c r="AC50" i="35"/>
  <c r="AE49" i="35"/>
  <c r="AO23" i="35"/>
  <c r="AQ23" i="35"/>
  <c r="AQ85" i="35" s="1"/>
  <c r="AR23" i="35"/>
  <c r="AR85" i="35" s="1"/>
  <c r="AV65" i="35"/>
  <c r="AW65" i="35" s="1"/>
  <c r="AU46" i="35"/>
  <c r="AL24" i="35" s="1"/>
  <c r="AV66" i="35"/>
  <c r="AW66" i="35" s="1"/>
  <c r="AV59" i="35"/>
  <c r="AW59" i="35" s="1"/>
  <c r="AV50" i="35"/>
  <c r="AW50" i="35" s="1"/>
  <c r="AV57" i="35"/>
  <c r="AW57" i="35" s="1"/>
  <c r="AV49" i="35"/>
  <c r="AW49" i="35" s="1"/>
  <c r="AV61" i="35"/>
  <c r="AW61" i="35" s="1"/>
  <c r="AV60" i="35"/>
  <c r="AW60" i="35" s="1"/>
  <c r="AV48" i="35"/>
  <c r="AW48" i="35" s="1"/>
  <c r="AV56" i="35"/>
  <c r="AW56" i="35" s="1"/>
  <c r="AV64" i="35"/>
  <c r="AW64" i="35" s="1"/>
  <c r="AV53" i="35"/>
  <c r="AW53" i="35" s="1"/>
  <c r="AV67" i="35"/>
  <c r="AW67" i="35" s="1"/>
  <c r="AV52" i="35"/>
  <c r="AW52" i="35" s="1"/>
  <c r="AV51" i="35"/>
  <c r="AW51" i="35" s="1"/>
  <c r="DA217" i="46"/>
  <c r="BN14" i="46"/>
  <c r="A17" i="46"/>
  <c r="A63" i="47"/>
  <c r="BI11" i="46"/>
  <c r="AC52" i="41" l="1"/>
  <c r="AE51" i="41"/>
  <c r="AQ23" i="41"/>
  <c r="AQ85" i="41" s="1"/>
  <c r="AV53" i="41"/>
  <c r="AW53" i="41" s="1"/>
  <c r="AU46" i="41"/>
  <c r="AL24" i="41" s="1"/>
  <c r="AV52" i="41"/>
  <c r="AW52" i="41" s="1"/>
  <c r="AV60" i="41"/>
  <c r="AW60" i="41" s="1"/>
  <c r="AV67" i="41"/>
  <c r="AW67" i="41" s="1"/>
  <c r="AV66" i="41"/>
  <c r="AW66" i="41" s="1"/>
  <c r="AV59" i="41"/>
  <c r="AW59" i="41" s="1"/>
  <c r="AV58" i="41"/>
  <c r="AW58" i="41" s="1"/>
  <c r="AV63" i="41"/>
  <c r="AW63" i="41" s="1"/>
  <c r="AV61" i="41"/>
  <c r="AW61" i="41" s="1"/>
  <c r="AV64" i="41"/>
  <c r="AW64" i="41" s="1"/>
  <c r="AV62" i="41"/>
  <c r="AW62" i="41" s="1"/>
  <c r="AV50" i="41"/>
  <c r="AW50" i="41" s="1"/>
  <c r="AV57" i="41"/>
  <c r="AW57" i="41" s="1"/>
  <c r="AV56" i="41"/>
  <c r="AW56" i="41" s="1"/>
  <c r="AV54" i="41"/>
  <c r="AW54" i="41" s="1"/>
  <c r="AV55" i="41"/>
  <c r="AW55" i="41" s="1"/>
  <c r="AV51" i="41"/>
  <c r="AW51" i="41" s="1"/>
  <c r="AG14" i="36"/>
  <c r="AG3" i="36"/>
  <c r="BC12" i="36" s="1"/>
  <c r="AG2" i="36"/>
  <c r="AC43" i="36" s="1"/>
  <c r="AB63" i="36"/>
  <c r="AA62" i="36"/>
  <c r="Z61" i="36"/>
  <c r="AB59" i="36"/>
  <c r="AA58" i="36"/>
  <c r="Z57" i="36"/>
  <c r="AB55" i="36"/>
  <c r="AA54" i="36"/>
  <c r="Z53" i="36"/>
  <c r="AB51" i="36"/>
  <c r="AA50" i="36"/>
  <c r="Z49" i="36"/>
  <c r="AB47" i="36"/>
  <c r="AA46" i="36"/>
  <c r="Z45" i="36"/>
  <c r="AA63" i="36"/>
  <c r="Z62" i="36"/>
  <c r="AB60" i="36"/>
  <c r="AA59" i="36"/>
  <c r="Z58" i="36"/>
  <c r="AB56" i="36"/>
  <c r="AA55" i="36"/>
  <c r="Z54" i="36"/>
  <c r="AB52" i="36"/>
  <c r="AA51" i="36"/>
  <c r="Z50" i="36"/>
  <c r="AB48" i="36"/>
  <c r="AA47" i="36"/>
  <c r="Z46" i="36"/>
  <c r="AB44" i="36"/>
  <c r="Z63" i="36"/>
  <c r="AB61" i="36"/>
  <c r="AA60" i="36"/>
  <c r="Z59" i="36"/>
  <c r="AB57" i="36"/>
  <c r="AA56" i="36"/>
  <c r="Z55" i="36"/>
  <c r="AB53" i="36"/>
  <c r="AA52" i="36"/>
  <c r="Z51" i="36"/>
  <c r="AB49" i="36"/>
  <c r="AA48" i="36"/>
  <c r="Z47" i="36"/>
  <c r="AB45" i="36"/>
  <c r="AA44" i="36"/>
  <c r="Z60" i="36"/>
  <c r="AB54" i="36"/>
  <c r="AA49" i="36"/>
  <c r="Z44" i="36"/>
  <c r="AB58" i="36"/>
  <c r="Z52" i="36"/>
  <c r="AA45" i="36"/>
  <c r="AA57" i="36"/>
  <c r="Z48" i="36"/>
  <c r="Z56" i="36"/>
  <c r="AB46" i="36"/>
  <c r="AA53" i="36"/>
  <c r="AB50" i="36"/>
  <c r="AB62" i="36"/>
  <c r="AA61" i="36"/>
  <c r="AM48" i="36"/>
  <c r="AN48" i="36" s="1"/>
  <c r="AL46" i="36"/>
  <c r="AL20" i="36" s="1"/>
  <c r="AM65" i="36"/>
  <c r="AN65" i="36" s="1"/>
  <c r="AM67" i="36"/>
  <c r="AN67" i="36" s="1"/>
  <c r="AM66" i="36"/>
  <c r="AN66" i="36" s="1"/>
  <c r="AM62" i="36"/>
  <c r="AN62" i="36" s="1"/>
  <c r="AM61" i="36"/>
  <c r="AN61" i="36" s="1"/>
  <c r="AM60" i="36"/>
  <c r="AN60" i="36" s="1"/>
  <c r="AM58" i="36"/>
  <c r="AN58" i="36" s="1"/>
  <c r="AM63" i="36"/>
  <c r="AN63" i="36" s="1"/>
  <c r="AM64" i="36"/>
  <c r="AN64" i="36" s="1"/>
  <c r="AM59" i="36"/>
  <c r="AN59" i="36" s="1"/>
  <c r="AM55" i="36"/>
  <c r="AN55" i="36" s="1"/>
  <c r="AM52" i="36"/>
  <c r="AN52" i="36" s="1"/>
  <c r="AM54" i="36"/>
  <c r="AN54" i="36" s="1"/>
  <c r="AM49" i="36"/>
  <c r="AN49" i="36" s="1"/>
  <c r="AM53" i="36"/>
  <c r="AN53" i="36" s="1"/>
  <c r="AM56" i="36"/>
  <c r="AN56" i="36" s="1"/>
  <c r="AM57" i="36"/>
  <c r="AN57" i="36" s="1"/>
  <c r="AM51" i="36"/>
  <c r="AN51" i="36" s="1"/>
  <c r="AM50" i="36"/>
  <c r="AN50" i="36" s="1"/>
  <c r="AE50" i="35"/>
  <c r="AC51" i="35"/>
  <c r="DA217" i="47"/>
  <c r="A17" i="47"/>
  <c r="A63" i="48"/>
  <c r="BI11" i="47"/>
  <c r="BN14" i="47"/>
  <c r="AW47" i="35"/>
  <c r="AW46" i="35" s="1"/>
  <c r="AL25" i="35" s="1"/>
  <c r="AM24" i="35"/>
  <c r="AW30" i="35" s="1"/>
  <c r="AT30" i="35" s="1"/>
  <c r="AN24" i="35"/>
  <c r="AO85" i="35"/>
  <c r="AT85" i="35" s="1"/>
  <c r="AU30" i="35"/>
  <c r="AV30" i="35" s="1"/>
  <c r="AW47" i="41" l="1"/>
  <c r="AW46" i="41" s="1"/>
  <c r="AL25" i="41" s="1"/>
  <c r="AN24" i="41"/>
  <c r="AM24" i="41"/>
  <c r="AO23" i="41"/>
  <c r="AE52" i="41"/>
  <c r="AC53" i="41"/>
  <c r="AN20" i="36"/>
  <c r="AN47" i="36"/>
  <c r="AO48" i="36"/>
  <c r="AP48" i="36" s="1"/>
  <c r="AC44" i="36"/>
  <c r="BC29" i="36"/>
  <c r="BC23" i="36"/>
  <c r="BC24" i="36" s="1"/>
  <c r="BC25" i="36" s="1"/>
  <c r="BG26" i="36" s="1"/>
  <c r="BI69" i="36" s="1"/>
  <c r="BK69" i="36" s="1"/>
  <c r="L31" i="36" s="1"/>
  <c r="AC52" i="35"/>
  <c r="AE51" i="35"/>
  <c r="AQ24" i="35"/>
  <c r="AQ86" i="35" s="1"/>
  <c r="AO24" i="35"/>
  <c r="AR24" i="35"/>
  <c r="AR86" i="35" s="1"/>
  <c r="AN25" i="35"/>
  <c r="AM25" i="35"/>
  <c r="AW31" i="35" s="1"/>
  <c r="AT31" i="35" s="1"/>
  <c r="DA217" i="48"/>
  <c r="BI11" i="48"/>
  <c r="BN14" i="48"/>
  <c r="A63" i="49"/>
  <c r="A17" i="48"/>
  <c r="AC54" i="41" l="1"/>
  <c r="AE53" i="41"/>
  <c r="AO85" i="41"/>
  <c r="AU30" i="41"/>
  <c r="AV30" i="41" s="1"/>
  <c r="AW30" i="41"/>
  <c r="AT30" i="41" s="1"/>
  <c r="AR23" i="41"/>
  <c r="AR85" i="41" s="1"/>
  <c r="AQ24" i="41"/>
  <c r="AQ86" i="41" s="1"/>
  <c r="AO24" i="41"/>
  <c r="AM25" i="41"/>
  <c r="AN25" i="41"/>
  <c r="L31" i="49"/>
  <c r="DE231" i="36"/>
  <c r="L31" i="43"/>
  <c r="L31" i="40"/>
  <c r="L31" i="37"/>
  <c r="L31" i="39"/>
  <c r="L31" i="46"/>
  <c r="L31" i="38"/>
  <c r="L31" i="41"/>
  <c r="L31" i="47"/>
  <c r="L31" i="50"/>
  <c r="L31" i="45"/>
  <c r="L31" i="48"/>
  <c r="L31" i="44"/>
  <c r="BG10" i="36"/>
  <c r="BK54" i="36" s="1"/>
  <c r="L16" i="36" s="1"/>
  <c r="M16" i="36" s="1"/>
  <c r="BG19" i="36"/>
  <c r="BK63" i="36" s="1"/>
  <c r="L25" i="36" s="1"/>
  <c r="M25" i="36" s="1"/>
  <c r="BG8" i="36"/>
  <c r="BK52" i="36" s="1"/>
  <c r="L14" i="36" s="1"/>
  <c r="M14" i="36" s="1"/>
  <c r="BG23" i="36"/>
  <c r="BK67" i="36" s="1"/>
  <c r="BG15" i="36"/>
  <c r="BK59" i="36" s="1"/>
  <c r="L21" i="36" s="1"/>
  <c r="M21" i="36" s="1"/>
  <c r="BG6" i="36"/>
  <c r="BK50" i="36" s="1"/>
  <c r="L12" i="36" s="1"/>
  <c r="M12" i="36" s="1"/>
  <c r="BG22" i="36"/>
  <c r="BK66" i="36" s="1"/>
  <c r="BG12" i="36"/>
  <c r="BK56" i="36" s="1"/>
  <c r="L18" i="36" s="1"/>
  <c r="M18" i="36" s="1"/>
  <c r="BG16" i="36"/>
  <c r="BK60" i="36" s="1"/>
  <c r="L22" i="36" s="1"/>
  <c r="M22" i="36" s="1"/>
  <c r="BG21" i="36"/>
  <c r="BK65" i="36" s="1"/>
  <c r="L27" i="36" s="1"/>
  <c r="M27" i="36" s="1"/>
  <c r="BG13" i="36"/>
  <c r="BK57" i="36" s="1"/>
  <c r="L19" i="36" s="1"/>
  <c r="M19" i="36" s="1"/>
  <c r="BG24" i="36"/>
  <c r="BK68" i="36" s="1"/>
  <c r="BG11" i="36"/>
  <c r="BK55" i="36" s="1"/>
  <c r="L17" i="36" s="1"/>
  <c r="M17" i="36" s="1"/>
  <c r="BG5" i="36"/>
  <c r="BG20" i="36"/>
  <c r="BK64" i="36" s="1"/>
  <c r="L26" i="36" s="1"/>
  <c r="M26" i="36" s="1"/>
  <c r="BG14" i="36"/>
  <c r="BK58" i="36" s="1"/>
  <c r="L20" i="36" s="1"/>
  <c r="M20" i="36" s="1"/>
  <c r="BG17" i="36"/>
  <c r="BK61" i="36" s="1"/>
  <c r="L23" i="36" s="1"/>
  <c r="M23" i="36" s="1"/>
  <c r="BG18" i="36"/>
  <c r="BK62" i="36" s="1"/>
  <c r="L24" i="36" s="1"/>
  <c r="M24" i="36" s="1"/>
  <c r="BG9" i="36"/>
  <c r="BK53" i="36" s="1"/>
  <c r="L15" i="36" s="1"/>
  <c r="M15" i="36" s="1"/>
  <c r="BG7" i="36"/>
  <c r="BK51" i="36" s="1"/>
  <c r="L13" i="36" s="1"/>
  <c r="M13" i="36" s="1"/>
  <c r="AC45" i="36"/>
  <c r="AE44" i="36"/>
  <c r="AO57" i="36"/>
  <c r="AP57" i="36" s="1"/>
  <c r="AN46" i="36"/>
  <c r="AL21" i="36" s="1"/>
  <c r="AO50" i="36"/>
  <c r="AP50" i="36" s="1"/>
  <c r="AO51" i="36"/>
  <c r="AP51" i="36" s="1"/>
  <c r="AO56" i="36"/>
  <c r="AP56" i="36" s="1"/>
  <c r="AO53" i="36"/>
  <c r="AP53" i="36" s="1"/>
  <c r="AO49" i="36"/>
  <c r="AP49" i="36" s="1"/>
  <c r="AO54" i="36"/>
  <c r="AP54" i="36" s="1"/>
  <c r="AO52" i="36"/>
  <c r="AP52" i="36" s="1"/>
  <c r="AO55" i="36"/>
  <c r="AP55" i="36" s="1"/>
  <c r="AO59" i="36"/>
  <c r="AP59" i="36" s="1"/>
  <c r="AO64" i="36"/>
  <c r="AP64" i="36" s="1"/>
  <c r="AO63" i="36"/>
  <c r="AP63" i="36" s="1"/>
  <c r="AO58" i="36"/>
  <c r="AP58" i="36" s="1"/>
  <c r="AO60" i="36"/>
  <c r="AP60" i="36" s="1"/>
  <c r="AO61" i="36"/>
  <c r="AP61" i="36" s="1"/>
  <c r="AO62" i="36"/>
  <c r="AP62" i="36" s="1"/>
  <c r="AO66" i="36"/>
  <c r="AP66" i="36" s="1"/>
  <c r="AO67" i="36"/>
  <c r="AP67" i="36" s="1"/>
  <c r="AO65" i="36"/>
  <c r="AP65" i="36" s="1"/>
  <c r="AQ20" i="36"/>
  <c r="AQ82" i="36" s="1"/>
  <c r="AO20" i="36"/>
  <c r="AE52" i="35"/>
  <c r="AC53" i="35"/>
  <c r="DA217" i="49"/>
  <c r="A17" i="49"/>
  <c r="A63" i="50"/>
  <c r="BI11" i="49"/>
  <c r="BN14" i="49"/>
  <c r="AW32" i="35"/>
  <c r="AT32" i="35" s="1"/>
  <c r="AQ25" i="35"/>
  <c r="AQ87" i="35" s="1"/>
  <c r="AO25" i="35"/>
  <c r="AR25" i="35"/>
  <c r="AR87" i="35" s="1"/>
  <c r="AU31" i="35"/>
  <c r="AV31" i="35" s="1"/>
  <c r="AO86" i="35"/>
  <c r="AT86" i="35" s="1"/>
  <c r="AQ25" i="41" l="1"/>
  <c r="AQ87" i="41" s="1"/>
  <c r="AW32" i="41"/>
  <c r="AR25" i="41"/>
  <c r="AR87" i="41" s="1"/>
  <c r="AO25" i="41"/>
  <c r="AW31" i="41"/>
  <c r="AT31" i="41" s="1"/>
  <c r="AR24" i="41"/>
  <c r="AR86" i="41" s="1"/>
  <c r="AO86" i="41"/>
  <c r="AU31" i="41"/>
  <c r="AV31" i="41"/>
  <c r="AT85" i="41"/>
  <c r="AC55" i="41"/>
  <c r="AE54" i="41"/>
  <c r="DF213" i="36"/>
  <c r="M13" i="45"/>
  <c r="M13" i="50"/>
  <c r="M13" i="37"/>
  <c r="M13" i="49"/>
  <c r="M13" i="47"/>
  <c r="M13" i="46"/>
  <c r="M13" i="40"/>
  <c r="M13" i="39"/>
  <c r="M13" i="38"/>
  <c r="M13" i="43"/>
  <c r="M13" i="48"/>
  <c r="M13" i="44"/>
  <c r="M13" i="41"/>
  <c r="A13" i="36"/>
  <c r="DF215" i="36"/>
  <c r="M15" i="39"/>
  <c r="M15" i="44"/>
  <c r="M15" i="46"/>
  <c r="M15" i="43"/>
  <c r="M15" i="37"/>
  <c r="M15" i="38"/>
  <c r="M15" i="49"/>
  <c r="M15" i="48"/>
  <c r="M15" i="40"/>
  <c r="M15" i="45"/>
  <c r="M15" i="50"/>
  <c r="M15" i="41"/>
  <c r="M15" i="47"/>
  <c r="DF224" i="36"/>
  <c r="M24" i="46"/>
  <c r="M24" i="39"/>
  <c r="M24" i="41"/>
  <c r="M24" i="45"/>
  <c r="M24" i="38"/>
  <c r="M24" i="47"/>
  <c r="M24" i="37"/>
  <c r="AA27" i="37" s="1"/>
  <c r="M24" i="50"/>
  <c r="M24" i="49"/>
  <c r="M24" i="40"/>
  <c r="M24" i="48"/>
  <c r="M24" i="44"/>
  <c r="M24" i="43"/>
  <c r="A24" i="36"/>
  <c r="DF223" i="36"/>
  <c r="M23" i="37"/>
  <c r="AA26" i="37" s="1"/>
  <c r="M23" i="50"/>
  <c r="M23" i="47"/>
  <c r="M23" i="45"/>
  <c r="M23" i="43"/>
  <c r="M23" i="41"/>
  <c r="M23" i="40"/>
  <c r="M23" i="39"/>
  <c r="M23" i="44"/>
  <c r="M23" i="48"/>
  <c r="M23" i="46"/>
  <c r="M23" i="49"/>
  <c r="M23" i="38"/>
  <c r="A23" i="36"/>
  <c r="DF220" i="36"/>
  <c r="M20" i="45"/>
  <c r="M20" i="41"/>
  <c r="M20" i="43"/>
  <c r="M20" i="39"/>
  <c r="M20" i="48"/>
  <c r="M20" i="47"/>
  <c r="M20" i="40"/>
  <c r="M20" i="37"/>
  <c r="M20" i="46"/>
  <c r="M20" i="49"/>
  <c r="M20" i="50"/>
  <c r="M20" i="44"/>
  <c r="M20" i="38"/>
  <c r="A20" i="36"/>
  <c r="DF226" i="36"/>
  <c r="M26" i="45"/>
  <c r="M26" i="47"/>
  <c r="M26" i="41"/>
  <c r="M26" i="37"/>
  <c r="AA29" i="37" s="1"/>
  <c r="M26" i="50"/>
  <c r="M26" i="48"/>
  <c r="M26" i="44"/>
  <c r="M26" i="39"/>
  <c r="M26" i="46"/>
  <c r="M26" i="49"/>
  <c r="M26" i="38"/>
  <c r="M26" i="43"/>
  <c r="M26" i="40"/>
  <c r="A26" i="36"/>
  <c r="DF217" i="36"/>
  <c r="M17" i="38"/>
  <c r="M17" i="37"/>
  <c r="M17" i="49"/>
  <c r="M17" i="39"/>
  <c r="M17" i="47"/>
  <c r="M17" i="48"/>
  <c r="M17" i="46"/>
  <c r="M17" i="41"/>
  <c r="M17" i="40"/>
  <c r="M17" i="50"/>
  <c r="M17" i="44"/>
  <c r="M17" i="45"/>
  <c r="M17" i="43"/>
  <c r="DF219" i="36"/>
  <c r="M19" i="37"/>
  <c r="M19" i="46"/>
  <c r="M19" i="43"/>
  <c r="M19" i="49"/>
  <c r="M19" i="48"/>
  <c r="M19" i="44"/>
  <c r="M19" i="47"/>
  <c r="M19" i="38"/>
  <c r="M19" i="41"/>
  <c r="M19" i="40"/>
  <c r="M19" i="39"/>
  <c r="M19" i="50"/>
  <c r="M19" i="45"/>
  <c r="A19" i="36"/>
  <c r="DF227" i="36"/>
  <c r="M27" i="37"/>
  <c r="AA30" i="37" s="1"/>
  <c r="M27" i="40"/>
  <c r="M27" i="43"/>
  <c r="M27" i="46"/>
  <c r="M27" i="50"/>
  <c r="M27" i="41"/>
  <c r="M27" i="39"/>
  <c r="M27" i="45"/>
  <c r="M27" i="44"/>
  <c r="M27" i="48"/>
  <c r="M27" i="49"/>
  <c r="M27" i="38"/>
  <c r="M27" i="47"/>
  <c r="A27" i="36"/>
  <c r="DF222" i="36"/>
  <c r="M22" i="37"/>
  <c r="AA25" i="37" s="1"/>
  <c r="M22" i="49"/>
  <c r="M22" i="47"/>
  <c r="M22" i="46"/>
  <c r="M22" i="48"/>
  <c r="M22" i="41"/>
  <c r="M22" i="50"/>
  <c r="M22" i="43"/>
  <c r="M22" i="38"/>
  <c r="M22" i="39"/>
  <c r="M22" i="44"/>
  <c r="M22" i="40"/>
  <c r="M22" i="45"/>
  <c r="A22" i="36"/>
  <c r="DF218" i="36"/>
  <c r="M18" i="45"/>
  <c r="M18" i="41"/>
  <c r="M18" i="40"/>
  <c r="M18" i="50"/>
  <c r="M18" i="49"/>
  <c r="M18" i="39"/>
  <c r="M18" i="46"/>
  <c r="M18" i="47"/>
  <c r="M18" i="44"/>
  <c r="M18" i="37"/>
  <c r="M18" i="43"/>
  <c r="M18" i="38"/>
  <c r="M18" i="48"/>
  <c r="A18" i="36"/>
  <c r="DF212" i="36"/>
  <c r="M12" i="37"/>
  <c r="M12" i="48"/>
  <c r="M12" i="44"/>
  <c r="M12" i="47"/>
  <c r="M12" i="50"/>
  <c r="M12" i="46"/>
  <c r="M12" i="43"/>
  <c r="M12" i="49"/>
  <c r="M12" i="40"/>
  <c r="M12" i="41"/>
  <c r="M12" i="45"/>
  <c r="M12" i="38"/>
  <c r="M12" i="39"/>
  <c r="A12" i="36"/>
  <c r="DF221" i="36"/>
  <c r="M21" i="37"/>
  <c r="AA24" i="37" s="1"/>
  <c r="M21" i="45"/>
  <c r="M21" i="50"/>
  <c r="M21" i="49"/>
  <c r="M21" i="48"/>
  <c r="M21" i="40"/>
  <c r="M21" i="41"/>
  <c r="M21" i="38"/>
  <c r="M21" i="47"/>
  <c r="M21" i="44"/>
  <c r="M21" i="43"/>
  <c r="M21" i="46"/>
  <c r="M21" i="39"/>
  <c r="A21" i="36"/>
  <c r="DF214" i="36"/>
  <c r="M14" i="37"/>
  <c r="M14" i="48"/>
  <c r="M14" i="45"/>
  <c r="M14" i="38"/>
  <c r="M14" i="50"/>
  <c r="M14" i="47"/>
  <c r="M14" i="39"/>
  <c r="M14" i="43"/>
  <c r="M14" i="40"/>
  <c r="M14" i="46"/>
  <c r="M14" i="41"/>
  <c r="M14" i="49"/>
  <c r="M14" i="44"/>
  <c r="DF225" i="36"/>
  <c r="M25" i="45"/>
  <c r="M25" i="40"/>
  <c r="M25" i="43"/>
  <c r="M25" i="49"/>
  <c r="M25" i="44"/>
  <c r="M25" i="41"/>
  <c r="M25" i="48"/>
  <c r="M25" i="50"/>
  <c r="M25" i="38"/>
  <c r="M25" i="37"/>
  <c r="AA28" i="37" s="1"/>
  <c r="M25" i="46"/>
  <c r="M25" i="47"/>
  <c r="M25" i="39"/>
  <c r="A25" i="36"/>
  <c r="DF216" i="36"/>
  <c r="M16" i="50"/>
  <c r="M16" i="45"/>
  <c r="M16" i="40"/>
  <c r="M16" i="49"/>
  <c r="M16" i="38"/>
  <c r="M16" i="39"/>
  <c r="M16" i="44"/>
  <c r="M16" i="41"/>
  <c r="M16" i="46"/>
  <c r="M16" i="47"/>
  <c r="M16" i="48"/>
  <c r="M16" i="37"/>
  <c r="M16" i="43"/>
  <c r="A16" i="36"/>
  <c r="AU27" i="36"/>
  <c r="AV27" i="36" s="1"/>
  <c r="AO82" i="36"/>
  <c r="AP47" i="36"/>
  <c r="AQ53" i="36"/>
  <c r="AR53" i="36" s="1"/>
  <c r="AQ56" i="36"/>
  <c r="AR56" i="36" s="1"/>
  <c r="AQ51" i="36"/>
  <c r="AR51" i="36" s="1"/>
  <c r="AQ50" i="36"/>
  <c r="AR50" i="36" s="1"/>
  <c r="AN21" i="36"/>
  <c r="AM21" i="36"/>
  <c r="AQ57" i="36"/>
  <c r="AR57" i="36" s="1"/>
  <c r="AC46" i="36"/>
  <c r="AE45" i="36"/>
  <c r="DE213" i="36"/>
  <c r="L13" i="48"/>
  <c r="L13" i="47"/>
  <c r="L13" i="40"/>
  <c r="L13" i="39"/>
  <c r="L13" i="43"/>
  <c r="L13" i="49"/>
  <c r="L13" i="41"/>
  <c r="L13" i="44"/>
  <c r="L13" i="50"/>
  <c r="L13" i="37"/>
  <c r="L13" i="46"/>
  <c r="L13" i="45"/>
  <c r="L13" i="38"/>
  <c r="DE215" i="36"/>
  <c r="L15" i="49"/>
  <c r="L15" i="50"/>
  <c r="L15" i="39"/>
  <c r="L15" i="38"/>
  <c r="L15" i="48"/>
  <c r="L15" i="43"/>
  <c r="L15" i="37"/>
  <c r="L15" i="40"/>
  <c r="L15" i="45"/>
  <c r="L15" i="46"/>
  <c r="L15" i="44"/>
  <c r="L15" i="47"/>
  <c r="L15" i="41"/>
  <c r="DE224" i="36"/>
  <c r="L24" i="41"/>
  <c r="L24" i="45"/>
  <c r="L24" i="49"/>
  <c r="L24" i="38"/>
  <c r="L24" i="37"/>
  <c r="L24" i="50"/>
  <c r="L24" i="39"/>
  <c r="L24" i="44"/>
  <c r="L24" i="43"/>
  <c r="L24" i="40"/>
  <c r="L24" i="46"/>
  <c r="L24" i="47"/>
  <c r="L24" i="48"/>
  <c r="DE223" i="36"/>
  <c r="L23" i="39"/>
  <c r="L23" i="45"/>
  <c r="L23" i="46"/>
  <c r="L23" i="41"/>
  <c r="L23" i="50"/>
  <c r="L23" i="48"/>
  <c r="L23" i="40"/>
  <c r="L23" i="47"/>
  <c r="L23" i="49"/>
  <c r="L23" i="37"/>
  <c r="L23" i="44"/>
  <c r="L23" i="43"/>
  <c r="L23" i="38"/>
  <c r="DE220" i="36"/>
  <c r="L20" i="50"/>
  <c r="L20" i="49"/>
  <c r="L20" i="39"/>
  <c r="L20" i="40"/>
  <c r="L20" i="41"/>
  <c r="L20" i="43"/>
  <c r="L20" i="47"/>
  <c r="L20" i="37"/>
  <c r="L20" i="38"/>
  <c r="L20" i="45"/>
  <c r="L20" i="44"/>
  <c r="L20" i="46"/>
  <c r="L20" i="48"/>
  <c r="L26" i="37"/>
  <c r="L26" i="49"/>
  <c r="L26" i="47"/>
  <c r="L26" i="45"/>
  <c r="L26" i="50"/>
  <c r="L26" i="41"/>
  <c r="L26" i="46"/>
  <c r="L26" i="44"/>
  <c r="L26" i="48"/>
  <c r="DE226" i="36"/>
  <c r="L26" i="40"/>
  <c r="L26" i="38"/>
  <c r="L26" i="43"/>
  <c r="L26" i="39"/>
  <c r="BK49" i="36"/>
  <c r="L11" i="36" s="1"/>
  <c r="M11" i="36" s="1"/>
  <c r="BG25" i="36"/>
  <c r="BG27" i="36" s="1"/>
  <c r="BK70" i="36" s="1"/>
  <c r="DE217" i="36"/>
  <c r="L17" i="40"/>
  <c r="L17" i="48"/>
  <c r="L17" i="43"/>
  <c r="L17" i="44"/>
  <c r="L17" i="49"/>
  <c r="L17" i="37"/>
  <c r="L17" i="41"/>
  <c r="L17" i="45"/>
  <c r="L17" i="47"/>
  <c r="L17" i="39"/>
  <c r="L17" i="50"/>
  <c r="L17" i="46"/>
  <c r="L17" i="38"/>
  <c r="DE219" i="36"/>
  <c r="L19" i="49"/>
  <c r="L19" i="50"/>
  <c r="L19" i="48"/>
  <c r="L19" i="47"/>
  <c r="L19" i="46"/>
  <c r="L19" i="43"/>
  <c r="L19" i="38"/>
  <c r="L19" i="37"/>
  <c r="L19" i="45"/>
  <c r="L19" i="44"/>
  <c r="L19" i="41"/>
  <c r="L19" i="40"/>
  <c r="L19" i="39"/>
  <c r="DE227" i="36"/>
  <c r="L27" i="43"/>
  <c r="L27" i="45"/>
  <c r="L27" i="46"/>
  <c r="L27" i="40"/>
  <c r="L27" i="48"/>
  <c r="L27" i="44"/>
  <c r="L27" i="39"/>
  <c r="L27" i="38"/>
  <c r="L27" i="37"/>
  <c r="L27" i="49"/>
  <c r="L27" i="47"/>
  <c r="L27" i="50"/>
  <c r="L27" i="41"/>
  <c r="DE222" i="36"/>
  <c r="L22" i="44"/>
  <c r="L22" i="48"/>
  <c r="L22" i="41"/>
  <c r="L22" i="47"/>
  <c r="L22" i="37"/>
  <c r="L22" i="38"/>
  <c r="L22" i="39"/>
  <c r="L22" i="46"/>
  <c r="L22" i="49"/>
  <c r="L22" i="50"/>
  <c r="L22" i="45"/>
  <c r="L22" i="40"/>
  <c r="L22" i="43"/>
  <c r="DE218" i="36"/>
  <c r="L18" i="44"/>
  <c r="L18" i="48"/>
  <c r="L18" i="40"/>
  <c r="L18" i="41"/>
  <c r="L18" i="45"/>
  <c r="L18" i="49"/>
  <c r="L18" i="37"/>
  <c r="L18" i="47"/>
  <c r="L18" i="39"/>
  <c r="L18" i="50"/>
  <c r="L18" i="38"/>
  <c r="L18" i="46"/>
  <c r="L18" i="43"/>
  <c r="DE212" i="36"/>
  <c r="L12" i="44"/>
  <c r="L12" i="48"/>
  <c r="L12" i="50"/>
  <c r="L12" i="40"/>
  <c r="L12" i="38"/>
  <c r="L12" i="47"/>
  <c r="L12" i="46"/>
  <c r="L12" i="41"/>
  <c r="L12" i="39"/>
  <c r="L12" i="45"/>
  <c r="L12" i="37"/>
  <c r="L12" i="43"/>
  <c r="L12" i="49"/>
  <c r="DE221" i="36"/>
  <c r="L21" i="48"/>
  <c r="L21" i="38"/>
  <c r="L21" i="47"/>
  <c r="L21" i="45"/>
  <c r="L21" i="41"/>
  <c r="L21" i="46"/>
  <c r="L21" i="43"/>
  <c r="L21" i="39"/>
  <c r="L21" i="44"/>
  <c r="L21" i="37"/>
  <c r="L21" i="40"/>
  <c r="L21" i="49"/>
  <c r="L21" i="50"/>
  <c r="DE214" i="36"/>
  <c r="L14" i="45"/>
  <c r="L14" i="39"/>
  <c r="L14" i="49"/>
  <c r="L14" i="48"/>
  <c r="L14" i="47"/>
  <c r="L14" i="43"/>
  <c r="L14" i="44"/>
  <c r="L14" i="46"/>
  <c r="L14" i="41"/>
  <c r="L14" i="38"/>
  <c r="L14" i="50"/>
  <c r="L14" i="40"/>
  <c r="L14" i="37"/>
  <c r="L25" i="41"/>
  <c r="L25" i="38"/>
  <c r="DE225" i="36"/>
  <c r="L25" i="50"/>
  <c r="L25" i="40"/>
  <c r="L25" i="47"/>
  <c r="L25" i="39"/>
  <c r="L25" i="45"/>
  <c r="L25" i="46"/>
  <c r="L25" i="44"/>
  <c r="L25" i="43"/>
  <c r="L25" i="48"/>
  <c r="L25" i="49"/>
  <c r="L25" i="37"/>
  <c r="DE216" i="36"/>
  <c r="L16" i="45"/>
  <c r="L16" i="47"/>
  <c r="L16" i="41"/>
  <c r="L16" i="37"/>
  <c r="L16" i="50"/>
  <c r="L16" i="44"/>
  <c r="L16" i="39"/>
  <c r="L16" i="48"/>
  <c r="L16" i="43"/>
  <c r="L16" i="46"/>
  <c r="L16" i="49"/>
  <c r="L16" i="38"/>
  <c r="L16" i="40"/>
  <c r="AC54" i="35"/>
  <c r="AE53" i="35"/>
  <c r="AO87" i="35"/>
  <c r="AT87" i="35" s="1"/>
  <c r="AT89" i="35" s="1"/>
  <c r="AQ9" i="35" s="1"/>
  <c r="AU32" i="35"/>
  <c r="AV32" i="35" s="1"/>
  <c r="AV26" i="35" s="1"/>
  <c r="DA217" i="50"/>
  <c r="BN14" i="50"/>
  <c r="BI11" i="50"/>
  <c r="A17" i="50"/>
  <c r="AC56" i="41" l="1"/>
  <c r="AE55" i="41"/>
  <c r="AT86" i="41"/>
  <c r="AO87" i="41"/>
  <c r="AT87" i="41" s="1"/>
  <c r="AT89" i="41" s="1"/>
  <c r="AQ9" i="41" s="1"/>
  <c r="AU32" i="41"/>
  <c r="AV32" i="41" s="1"/>
  <c r="AV26" i="41" s="1"/>
  <c r="AT32" i="41"/>
  <c r="DF211" i="36"/>
  <c r="M32" i="36"/>
  <c r="M11" i="37"/>
  <c r="M11" i="44"/>
  <c r="M11" i="43"/>
  <c r="M11" i="38"/>
  <c r="M11" i="50"/>
  <c r="M11" i="40"/>
  <c r="M11" i="46"/>
  <c r="M11" i="45"/>
  <c r="M11" i="47"/>
  <c r="M11" i="41"/>
  <c r="M11" i="48"/>
  <c r="M11" i="49"/>
  <c r="M11" i="39"/>
  <c r="DA216" i="36"/>
  <c r="BN13" i="36"/>
  <c r="BI10" i="36"/>
  <c r="AA19" i="37"/>
  <c r="BJ10" i="37"/>
  <c r="DA225" i="36"/>
  <c r="BI19" i="36"/>
  <c r="BN22" i="36"/>
  <c r="AE28" i="37"/>
  <c r="AF28" i="37" s="1"/>
  <c r="AG28" i="37" s="1"/>
  <c r="BO22" i="37"/>
  <c r="AK62" i="37"/>
  <c r="AL62" i="37" s="1"/>
  <c r="AC28" i="37"/>
  <c r="AA17" i="37"/>
  <c r="BJ8" i="37"/>
  <c r="DA221" i="36"/>
  <c r="BI15" i="36"/>
  <c r="BN18" i="36"/>
  <c r="AE24" i="37"/>
  <c r="AF24" i="37" s="1"/>
  <c r="AG24" i="37" s="1"/>
  <c r="BO18" i="37"/>
  <c r="AC24" i="37"/>
  <c r="AK58" i="37"/>
  <c r="AL58" i="37" s="1"/>
  <c r="DA212" i="36"/>
  <c r="BN9" i="36"/>
  <c r="BI6" i="36"/>
  <c r="AA15" i="37"/>
  <c r="BJ6" i="37"/>
  <c r="DA218" i="36"/>
  <c r="BI12" i="36"/>
  <c r="BN15" i="36"/>
  <c r="AA21" i="37"/>
  <c r="BJ12" i="37"/>
  <c r="DA222" i="36"/>
  <c r="BI16" i="36"/>
  <c r="BN19" i="36"/>
  <c r="AE25" i="37"/>
  <c r="AF25" i="37" s="1"/>
  <c r="AG25" i="37" s="1"/>
  <c r="AK59" i="37"/>
  <c r="AL59" i="37" s="1"/>
  <c r="BO19" i="37"/>
  <c r="AC25" i="37"/>
  <c r="DA227" i="36"/>
  <c r="BI21" i="36"/>
  <c r="BN24" i="36"/>
  <c r="AE30" i="37"/>
  <c r="AF30" i="37" s="1"/>
  <c r="AG30" i="37" s="1"/>
  <c r="BO24" i="37"/>
  <c r="AC30" i="37"/>
  <c r="AK64" i="37"/>
  <c r="AL64" i="37" s="1"/>
  <c r="DA219" i="36"/>
  <c r="BN16" i="36"/>
  <c r="BI13" i="36"/>
  <c r="AA22" i="37"/>
  <c r="BJ13" i="37"/>
  <c r="AA20" i="37"/>
  <c r="BJ11" i="37"/>
  <c r="DA226" i="36"/>
  <c r="BN23" i="36"/>
  <c r="BI20" i="36"/>
  <c r="AE29" i="37"/>
  <c r="AF29" i="37" s="1"/>
  <c r="AG29" i="37" s="1"/>
  <c r="AK63" i="37"/>
  <c r="AL63" i="37" s="1"/>
  <c r="BO23" i="37"/>
  <c r="AC29" i="37"/>
  <c r="DA220" i="36"/>
  <c r="BI14" i="36"/>
  <c r="BN17" i="36"/>
  <c r="AA23" i="37"/>
  <c r="BJ14" i="37"/>
  <c r="DA223" i="36"/>
  <c r="BN20" i="36"/>
  <c r="BI17" i="36"/>
  <c r="AK60" i="37"/>
  <c r="AL60" i="37" s="1"/>
  <c r="BO20" i="37"/>
  <c r="AC26" i="37"/>
  <c r="DA224" i="36"/>
  <c r="BI18" i="36"/>
  <c r="BN21" i="36"/>
  <c r="AE27" i="37"/>
  <c r="AF27" i="37" s="1"/>
  <c r="AG27" i="37" s="1"/>
  <c r="AK61" i="37"/>
  <c r="AL61" i="37" s="1"/>
  <c r="AC27" i="37"/>
  <c r="BO21" i="37"/>
  <c r="AA18" i="37"/>
  <c r="BJ9" i="37"/>
  <c r="DA213" i="36"/>
  <c r="BI7" i="36"/>
  <c r="BN10" i="36"/>
  <c r="AA16" i="37"/>
  <c r="BJ7" i="37"/>
  <c r="DE211" i="36"/>
  <c r="L11" i="50"/>
  <c r="L11" i="47"/>
  <c r="L11" i="38"/>
  <c r="L11" i="37"/>
  <c r="L11" i="45"/>
  <c r="L11" i="43"/>
  <c r="L11" i="46"/>
  <c r="L11" i="44"/>
  <c r="L11" i="49"/>
  <c r="L11" i="40"/>
  <c r="L11" i="41"/>
  <c r="L11" i="48"/>
  <c r="L11" i="39"/>
  <c r="AC47" i="36"/>
  <c r="AE46" i="36"/>
  <c r="AQ6" i="36"/>
  <c r="AR20" i="36"/>
  <c r="AR82" i="36" s="1"/>
  <c r="AW27" i="36"/>
  <c r="AT27" i="36" s="1"/>
  <c r="AQ21" i="36"/>
  <c r="AQ83" i="36" s="1"/>
  <c r="AQ64" i="36"/>
  <c r="AR64" i="36" s="1"/>
  <c r="AP46" i="36"/>
  <c r="AL22" i="36" s="1"/>
  <c r="AQ48" i="36"/>
  <c r="AR48" i="36" s="1"/>
  <c r="AQ65" i="36"/>
  <c r="AR65" i="36" s="1"/>
  <c r="AQ67" i="36"/>
  <c r="AR67" i="36" s="1"/>
  <c r="AQ66" i="36"/>
  <c r="AR66" i="36" s="1"/>
  <c r="AQ62" i="36"/>
  <c r="AR62" i="36" s="1"/>
  <c r="AQ61" i="36"/>
  <c r="AR61" i="36" s="1"/>
  <c r="AQ60" i="36"/>
  <c r="AR60" i="36" s="1"/>
  <c r="AQ58" i="36"/>
  <c r="AR58" i="36" s="1"/>
  <c r="AQ63" i="36"/>
  <c r="AR63" i="36" s="1"/>
  <c r="AQ59" i="36"/>
  <c r="AR59" i="36" s="1"/>
  <c r="AQ55" i="36"/>
  <c r="AR55" i="36" s="1"/>
  <c r="AQ52" i="36"/>
  <c r="AR52" i="36" s="1"/>
  <c r="AQ54" i="36"/>
  <c r="AR54" i="36" s="1"/>
  <c r="AQ49" i="36"/>
  <c r="AR49" i="36" s="1"/>
  <c r="AT82" i="36"/>
  <c r="AC55" i="35"/>
  <c r="AE54" i="35"/>
  <c r="AE56" i="41" l="1"/>
  <c r="AC57" i="41"/>
  <c r="AE16" i="37"/>
  <c r="AF16" i="37" s="1"/>
  <c r="AG16" i="37" s="1"/>
  <c r="AK50" i="37"/>
  <c r="AL50" i="37" s="1"/>
  <c r="BO10" i="37"/>
  <c r="AC16" i="37"/>
  <c r="AE18" i="37"/>
  <c r="AC18" i="37"/>
  <c r="BO12" i="37"/>
  <c r="AK52" i="37"/>
  <c r="AL52" i="37" s="1"/>
  <c r="AE23" i="37"/>
  <c r="AF23" i="37" s="1"/>
  <c r="AG23" i="37" s="1"/>
  <c r="AK57" i="37"/>
  <c r="AL57" i="37" s="1"/>
  <c r="AC23" i="37"/>
  <c r="BO17" i="37"/>
  <c r="AE20" i="37"/>
  <c r="AF20" i="37" s="1"/>
  <c r="AG20" i="37" s="1"/>
  <c r="AK54" i="37"/>
  <c r="AL54" i="37" s="1"/>
  <c r="AC20" i="37"/>
  <c r="BO14" i="37"/>
  <c r="AE22" i="37"/>
  <c r="AF22" i="37" s="1"/>
  <c r="AG22" i="37" s="1"/>
  <c r="BO16" i="37"/>
  <c r="AC22" i="37"/>
  <c r="AK56" i="37"/>
  <c r="AL56" i="37" s="1"/>
  <c r="AE21" i="37"/>
  <c r="AF21" i="37" s="1"/>
  <c r="AG21" i="37" s="1"/>
  <c r="AK55" i="37"/>
  <c r="AL55" i="37" s="1"/>
  <c r="BO15" i="37"/>
  <c r="AC21" i="37"/>
  <c r="AE15" i="37"/>
  <c r="AF15" i="37" s="1"/>
  <c r="AG15" i="37" s="1"/>
  <c r="AK49" i="37"/>
  <c r="AL49" i="37" s="1"/>
  <c r="AC15" i="37"/>
  <c r="BO9" i="37"/>
  <c r="AE17" i="37"/>
  <c r="AK51" i="37"/>
  <c r="AL51" i="37" s="1"/>
  <c r="AC17" i="37"/>
  <c r="BO11" i="37"/>
  <c r="AE19" i="37"/>
  <c r="AF19" i="37" s="1"/>
  <c r="AG19" i="37" s="1"/>
  <c r="BO13" i="37"/>
  <c r="AC19" i="37"/>
  <c r="AK53" i="37"/>
  <c r="AL53" i="37" s="1"/>
  <c r="AA14" i="37"/>
  <c r="BJ5" i="37"/>
  <c r="M32" i="40"/>
  <c r="M33" i="40" s="1"/>
  <c r="DF232" i="36"/>
  <c r="M32" i="41"/>
  <c r="M33" i="41" s="1"/>
  <c r="M32" i="37"/>
  <c r="M33" i="37" s="1"/>
  <c r="M32" i="43"/>
  <c r="M33" i="43" s="1"/>
  <c r="M32" i="38"/>
  <c r="M33" i="38" s="1"/>
  <c r="M32" i="44"/>
  <c r="M33" i="44" s="1"/>
  <c r="M32" i="46"/>
  <c r="M33" i="46" s="1"/>
  <c r="M32" i="45"/>
  <c r="M33" i="45" s="1"/>
  <c r="M32" i="48"/>
  <c r="M33" i="48" s="1"/>
  <c r="M32" i="49"/>
  <c r="M33" i="49" s="1"/>
  <c r="M32" i="47"/>
  <c r="M33" i="47" s="1"/>
  <c r="M32" i="50"/>
  <c r="M33" i="50" s="1"/>
  <c r="M32" i="39"/>
  <c r="M33" i="39" s="1"/>
  <c r="M33" i="36"/>
  <c r="U4" i="36" s="1"/>
  <c r="AR47" i="36"/>
  <c r="AM22" i="36"/>
  <c r="AN22" i="36"/>
  <c r="AO21" i="36"/>
  <c r="AT64" i="36"/>
  <c r="AU64" i="36" s="1"/>
  <c r="AE47" i="36"/>
  <c r="AC48" i="36"/>
  <c r="AC56" i="35"/>
  <c r="AE55" i="35"/>
  <c r="AE57" i="41" l="1"/>
  <c r="AC58" i="41"/>
  <c r="AE14" i="37"/>
  <c r="AK48" i="37"/>
  <c r="AL48" i="37" s="1"/>
  <c r="AC14" i="37"/>
  <c r="BO8" i="37"/>
  <c r="AF17" i="37"/>
  <c r="AG17" i="37" s="1"/>
  <c r="AF18" i="37"/>
  <c r="AG18" i="37" s="1"/>
  <c r="AC49" i="36"/>
  <c r="AE48" i="36"/>
  <c r="AU28" i="36"/>
  <c r="AV28" i="36" s="1"/>
  <c r="AO83" i="36"/>
  <c r="AR22" i="36"/>
  <c r="AR84" i="36" s="1"/>
  <c r="AQ22" i="36"/>
  <c r="AQ84" i="36" s="1"/>
  <c r="AO22" i="36"/>
  <c r="AW28" i="36"/>
  <c r="AT28" i="36" s="1"/>
  <c r="AR21" i="36"/>
  <c r="AR83" i="36" s="1"/>
  <c r="AT48" i="36"/>
  <c r="AU48" i="36" s="1"/>
  <c r="AR46" i="36"/>
  <c r="AL23" i="36" s="1"/>
  <c r="AT57" i="36"/>
  <c r="AU57" i="36" s="1"/>
  <c r="AT50" i="36"/>
  <c r="AU50" i="36" s="1"/>
  <c r="AT51" i="36"/>
  <c r="AU51" i="36" s="1"/>
  <c r="AT56" i="36"/>
  <c r="AU56" i="36" s="1"/>
  <c r="AT53" i="36"/>
  <c r="AU53" i="36" s="1"/>
  <c r="AT49" i="36"/>
  <c r="AU49" i="36" s="1"/>
  <c r="AT54" i="36"/>
  <c r="AU54" i="36" s="1"/>
  <c r="AT52" i="36"/>
  <c r="AU52" i="36" s="1"/>
  <c r="AT55" i="36"/>
  <c r="AU55" i="36" s="1"/>
  <c r="AT59" i="36"/>
  <c r="AU59" i="36" s="1"/>
  <c r="AT63" i="36"/>
  <c r="AU63" i="36" s="1"/>
  <c r="AT58" i="36"/>
  <c r="AU58" i="36" s="1"/>
  <c r="AT60" i="36"/>
  <c r="AU60" i="36" s="1"/>
  <c r="AT61" i="36"/>
  <c r="AU61" i="36" s="1"/>
  <c r="AT62" i="36"/>
  <c r="AU62" i="36" s="1"/>
  <c r="AT66" i="36"/>
  <c r="AU66" i="36" s="1"/>
  <c r="AT67" i="36"/>
  <c r="AU67" i="36" s="1"/>
  <c r="AT65" i="36"/>
  <c r="AU65" i="36" s="1"/>
  <c r="AE56" i="35"/>
  <c r="AC57" i="35"/>
  <c r="AE58" i="41" l="1"/>
  <c r="AC59" i="41"/>
  <c r="AL47" i="37"/>
  <c r="AM48" i="37"/>
  <c r="AN48" i="37" s="1"/>
  <c r="Z44" i="37" a="1"/>
  <c r="AF14" i="37"/>
  <c r="AM23" i="36"/>
  <c r="AW29" i="36" s="1"/>
  <c r="AT29" i="36" s="1"/>
  <c r="AN23" i="36"/>
  <c r="AU47" i="36"/>
  <c r="AV48" i="36"/>
  <c r="AW48" i="36" s="1"/>
  <c r="AO84" i="36"/>
  <c r="AT84" i="36" s="1"/>
  <c r="AU29" i="36"/>
  <c r="AV29" i="36" s="1"/>
  <c r="AT83" i="36"/>
  <c r="AE49" i="36"/>
  <c r="AC50" i="36"/>
  <c r="AC58" i="35"/>
  <c r="AE57" i="35"/>
  <c r="AC60" i="41" l="1"/>
  <c r="AE59" i="41"/>
  <c r="AG3" i="37"/>
  <c r="BC12" i="37" s="1"/>
  <c r="AG14" i="37"/>
  <c r="AG2" i="37"/>
  <c r="AC43" i="37" s="1"/>
  <c r="AB62" i="37"/>
  <c r="AA61" i="37"/>
  <c r="Z60" i="37"/>
  <c r="AB58" i="37"/>
  <c r="AA57" i="37"/>
  <c r="Z56" i="37"/>
  <c r="AB54" i="37"/>
  <c r="AA53" i="37"/>
  <c r="Z52" i="37"/>
  <c r="AB50" i="37"/>
  <c r="AA49" i="37"/>
  <c r="Z48" i="37"/>
  <c r="AB46" i="37"/>
  <c r="AA45" i="37"/>
  <c r="Z44" i="37"/>
  <c r="AB63" i="37"/>
  <c r="Z62" i="37"/>
  <c r="AA60" i="37"/>
  <c r="AA58" i="37"/>
  <c r="AB56" i="37"/>
  <c r="Z55" i="37"/>
  <c r="Z53" i="37"/>
  <c r="AA51" i="37"/>
  <c r="AB49" i="37"/>
  <c r="AB47" i="37"/>
  <c r="Z46" i="37"/>
  <c r="AA44" i="37"/>
  <c r="AA62" i="37"/>
  <c r="AB59" i="37"/>
  <c r="AB57" i="37"/>
  <c r="AA55" i="37"/>
  <c r="AB52" i="37"/>
  <c r="AA50" i="37"/>
  <c r="AA48" i="37"/>
  <c r="AB45" i="37"/>
  <c r="AB61" i="37"/>
  <c r="AA59" i="37"/>
  <c r="Z57" i="37"/>
  <c r="AA54" i="37"/>
  <c r="AA52" i="37"/>
  <c r="Z50" i="37"/>
  <c r="AA47" i="37"/>
  <c r="Z45" i="37"/>
  <c r="AA63" i="37"/>
  <c r="Z59" i="37"/>
  <c r="Z54" i="37"/>
  <c r="Z49" i="37"/>
  <c r="AB44" i="37"/>
  <c r="Z63" i="37"/>
  <c r="Z58" i="37"/>
  <c r="AB53" i="37"/>
  <c r="AB48" i="37"/>
  <c r="Z61" i="37"/>
  <c r="AA56" i="37"/>
  <c r="AB51" i="37"/>
  <c r="Z47" i="37"/>
  <c r="AB60" i="37"/>
  <c r="AB55" i="37"/>
  <c r="Z51" i="37"/>
  <c r="AA46" i="37"/>
  <c r="AM67" i="37"/>
  <c r="AN67" i="37" s="1"/>
  <c r="AM66" i="37"/>
  <c r="AN66" i="37" s="1"/>
  <c r="AM65" i="37"/>
  <c r="AN65" i="37" s="1"/>
  <c r="AL46" i="37"/>
  <c r="AL20" i="37" s="1"/>
  <c r="AM61" i="37"/>
  <c r="AN61" i="37" s="1"/>
  <c r="AM60" i="37"/>
  <c r="AN60" i="37" s="1"/>
  <c r="AM63" i="37"/>
  <c r="AN63" i="37" s="1"/>
  <c r="AM64" i="37"/>
  <c r="AN64" i="37" s="1"/>
  <c r="AM59" i="37"/>
  <c r="AN59" i="37" s="1"/>
  <c r="AM58" i="37"/>
  <c r="AN58" i="37" s="1"/>
  <c r="AM62" i="37"/>
  <c r="AN62" i="37" s="1"/>
  <c r="AM53" i="37"/>
  <c r="AN53" i="37" s="1"/>
  <c r="AM51" i="37"/>
  <c r="AN51" i="37" s="1"/>
  <c r="AM49" i="37"/>
  <c r="AN49" i="37" s="1"/>
  <c r="AM55" i="37"/>
  <c r="AN55" i="37" s="1"/>
  <c r="AM56" i="37"/>
  <c r="AN56" i="37" s="1"/>
  <c r="AM54" i="37"/>
  <c r="AN54" i="37" s="1"/>
  <c r="AM57" i="37"/>
  <c r="AN57" i="37" s="1"/>
  <c r="AM52" i="37"/>
  <c r="AN52" i="37" s="1"/>
  <c r="AM50" i="37"/>
  <c r="AN50" i="37" s="1"/>
  <c r="AC51" i="36"/>
  <c r="AE50" i="36"/>
  <c r="AV59" i="36"/>
  <c r="AW59" i="36" s="1"/>
  <c r="AU46" i="36"/>
  <c r="AL24" i="36" s="1"/>
  <c r="AV64" i="36"/>
  <c r="AW64" i="36" s="1"/>
  <c r="AV65" i="36"/>
  <c r="AW65" i="36" s="1"/>
  <c r="AV67" i="36"/>
  <c r="AW67" i="36" s="1"/>
  <c r="AV66" i="36"/>
  <c r="AW66" i="36" s="1"/>
  <c r="AV62" i="36"/>
  <c r="AW62" i="36" s="1"/>
  <c r="AV61" i="36"/>
  <c r="AW61" i="36" s="1"/>
  <c r="AV60" i="36"/>
  <c r="AW60" i="36" s="1"/>
  <c r="AV58" i="36"/>
  <c r="AW58" i="36" s="1"/>
  <c r="AV63" i="36"/>
  <c r="AW63" i="36" s="1"/>
  <c r="AV55" i="36"/>
  <c r="AW55" i="36" s="1"/>
  <c r="AV52" i="36"/>
  <c r="AW52" i="36" s="1"/>
  <c r="AV54" i="36"/>
  <c r="AW54" i="36" s="1"/>
  <c r="AV49" i="36"/>
  <c r="AW49" i="36" s="1"/>
  <c r="AV53" i="36"/>
  <c r="AW53" i="36" s="1"/>
  <c r="AV56" i="36"/>
  <c r="AW56" i="36" s="1"/>
  <c r="AV51" i="36"/>
  <c r="AW51" i="36" s="1"/>
  <c r="AV50" i="36"/>
  <c r="AW50" i="36" s="1"/>
  <c r="AV57" i="36"/>
  <c r="AW57" i="36" s="1"/>
  <c r="AO23" i="36"/>
  <c r="AR23" i="36"/>
  <c r="AR85" i="36" s="1"/>
  <c r="AQ23" i="36"/>
  <c r="AQ85" i="36" s="1"/>
  <c r="AE58" i="35"/>
  <c r="AC59" i="35"/>
  <c r="AE60" i="41" l="1"/>
  <c r="AC61" i="41"/>
  <c r="AN47" i="37"/>
  <c r="AO51" i="37"/>
  <c r="AP51" i="37" s="1"/>
  <c r="AO53" i="37"/>
  <c r="AP53" i="37" s="1"/>
  <c r="AO62" i="37"/>
  <c r="AP62" i="37" s="1"/>
  <c r="AO58" i="37"/>
  <c r="AP58" i="37" s="1"/>
  <c r="AO64" i="37"/>
  <c r="AP64" i="37" s="1"/>
  <c r="AO63" i="37"/>
  <c r="AP63" i="37" s="1"/>
  <c r="AO60" i="37"/>
  <c r="AP60" i="37" s="1"/>
  <c r="AO61" i="37"/>
  <c r="AP61" i="37" s="1"/>
  <c r="AN20" i="37"/>
  <c r="AO65" i="37"/>
  <c r="AP65" i="37" s="1"/>
  <c r="AO66" i="37"/>
  <c r="AP66" i="37" s="1"/>
  <c r="AO67" i="37"/>
  <c r="AP67" i="37" s="1"/>
  <c r="AC44" i="37"/>
  <c r="BC24" i="37"/>
  <c r="BC29" i="37"/>
  <c r="BC25" i="37"/>
  <c r="BC23" i="37"/>
  <c r="AU30" i="36"/>
  <c r="AV30" i="36" s="1"/>
  <c r="AO85" i="36"/>
  <c r="AT85" i="36" s="1"/>
  <c r="AW47" i="36"/>
  <c r="AW46" i="36" s="1"/>
  <c r="AL25" i="36" s="1"/>
  <c r="AM24" i="36"/>
  <c r="AW30" i="36" s="1"/>
  <c r="AT30" i="36" s="1"/>
  <c r="AN24" i="36"/>
  <c r="AE51" i="36"/>
  <c r="AC52" i="36"/>
  <c r="AE59" i="35"/>
  <c r="AC60" i="35"/>
  <c r="AE61" i="41" l="1"/>
  <c r="AC62" i="41"/>
  <c r="BG12" i="37"/>
  <c r="BK56" i="37" s="1"/>
  <c r="N18" i="37" s="1"/>
  <c r="O18" i="37" s="1"/>
  <c r="BG22" i="37"/>
  <c r="BK66" i="37" s="1"/>
  <c r="BG7" i="37"/>
  <c r="BK51" i="37" s="1"/>
  <c r="N13" i="37" s="1"/>
  <c r="O13" i="37" s="1"/>
  <c r="BG23" i="37"/>
  <c r="BK67" i="37" s="1"/>
  <c r="BG16" i="37"/>
  <c r="BK60" i="37" s="1"/>
  <c r="N22" i="37" s="1"/>
  <c r="O22" i="37" s="1"/>
  <c r="BG19" i="37"/>
  <c r="BK63" i="37" s="1"/>
  <c r="N25" i="37" s="1"/>
  <c r="O25" i="37" s="1"/>
  <c r="BG9" i="37"/>
  <c r="BK53" i="37" s="1"/>
  <c r="N15" i="37" s="1"/>
  <c r="O15" i="37" s="1"/>
  <c r="BG20" i="37"/>
  <c r="BK64" i="37" s="1"/>
  <c r="N26" i="37" s="1"/>
  <c r="O26" i="37" s="1"/>
  <c r="BG6" i="37"/>
  <c r="BK50" i="37" s="1"/>
  <c r="N12" i="37" s="1"/>
  <c r="O12" i="37" s="1"/>
  <c r="BG5" i="37"/>
  <c r="BG15" i="37"/>
  <c r="BK59" i="37" s="1"/>
  <c r="N21" i="37" s="1"/>
  <c r="O21" i="37" s="1"/>
  <c r="BG21" i="37"/>
  <c r="BK65" i="37" s="1"/>
  <c r="N27" i="37" s="1"/>
  <c r="O27" i="37" s="1"/>
  <c r="BG8" i="37"/>
  <c r="BK52" i="37" s="1"/>
  <c r="N14" i="37" s="1"/>
  <c r="O14" i="37" s="1"/>
  <c r="BG13" i="37"/>
  <c r="BK57" i="37" s="1"/>
  <c r="N19" i="37" s="1"/>
  <c r="O19" i="37" s="1"/>
  <c r="BG14" i="37"/>
  <c r="BK58" i="37" s="1"/>
  <c r="N20" i="37" s="1"/>
  <c r="O20" i="37" s="1"/>
  <c r="BG10" i="37"/>
  <c r="BK54" i="37" s="1"/>
  <c r="N16" i="37" s="1"/>
  <c r="O16" i="37" s="1"/>
  <c r="BG11" i="37"/>
  <c r="BK55" i="37" s="1"/>
  <c r="N17" i="37" s="1"/>
  <c r="O17" i="37" s="1"/>
  <c r="BG17" i="37"/>
  <c r="BK61" i="37" s="1"/>
  <c r="N23" i="37" s="1"/>
  <c r="O23" i="37" s="1"/>
  <c r="BG18" i="37"/>
  <c r="BK62" i="37" s="1"/>
  <c r="N24" i="37" s="1"/>
  <c r="O24" i="37" s="1"/>
  <c r="BG24" i="37"/>
  <c r="BK68" i="37" s="1"/>
  <c r="AC45" i="37"/>
  <c r="AE44" i="37"/>
  <c r="AQ20" i="37"/>
  <c r="AQ82" i="37" s="1"/>
  <c r="AO59" i="37"/>
  <c r="AP59" i="37" s="1"/>
  <c r="AN46" i="37"/>
  <c r="AL21" i="37" s="1"/>
  <c r="AO48" i="37"/>
  <c r="AP48" i="37" s="1"/>
  <c r="AO50" i="37"/>
  <c r="AP50" i="37" s="1"/>
  <c r="AO52" i="37"/>
  <c r="AP52" i="37" s="1"/>
  <c r="AO57" i="37"/>
  <c r="AP57" i="37" s="1"/>
  <c r="AO54" i="37"/>
  <c r="AP54" i="37" s="1"/>
  <c r="AO56" i="37"/>
  <c r="AP56" i="37" s="1"/>
  <c r="AO55" i="37"/>
  <c r="AP55" i="37" s="1"/>
  <c r="AO49" i="37"/>
  <c r="AP49" i="37" s="1"/>
  <c r="AC53" i="36"/>
  <c r="AE52" i="36"/>
  <c r="AQ24" i="36"/>
  <c r="AQ86" i="36" s="1"/>
  <c r="AO24" i="36"/>
  <c r="AR24" i="36"/>
  <c r="AR86" i="36" s="1"/>
  <c r="AM25" i="36"/>
  <c r="AW31" i="36" s="1"/>
  <c r="AT31" i="36" s="1"/>
  <c r="AN25" i="36"/>
  <c r="AC61" i="35"/>
  <c r="AE60" i="35"/>
  <c r="AC63" i="41" l="1"/>
  <c r="AE63" i="41" s="1"/>
  <c r="AE62" i="41"/>
  <c r="O24" i="47"/>
  <c r="O24" i="46"/>
  <c r="O24" i="41"/>
  <c r="O24" i="39"/>
  <c r="O24" i="50"/>
  <c r="O24" i="45"/>
  <c r="O24" i="43"/>
  <c r="O24" i="44"/>
  <c r="O24" i="38"/>
  <c r="AA27" i="38" s="1"/>
  <c r="O24" i="40"/>
  <c r="O24" i="48"/>
  <c r="O24" i="49"/>
  <c r="DF224" i="37"/>
  <c r="A24" i="37"/>
  <c r="O23" i="41"/>
  <c r="O23" i="47"/>
  <c r="DF223" i="37"/>
  <c r="O23" i="38"/>
  <c r="AA26" i="38" s="1"/>
  <c r="O23" i="44"/>
  <c r="O23" i="40"/>
  <c r="O23" i="39"/>
  <c r="O23" i="45"/>
  <c r="O23" i="50"/>
  <c r="O23" i="43"/>
  <c r="O23" i="46"/>
  <c r="O23" i="48"/>
  <c r="O23" i="49"/>
  <c r="A23" i="37"/>
  <c r="O17" i="41"/>
  <c r="O17" i="39"/>
  <c r="O17" i="38"/>
  <c r="O17" i="40"/>
  <c r="O17" i="49"/>
  <c r="O17" i="45"/>
  <c r="O17" i="50"/>
  <c r="DF217" i="37"/>
  <c r="O17" i="48"/>
  <c r="O17" i="44"/>
  <c r="O17" i="43"/>
  <c r="O17" i="47"/>
  <c r="O17" i="46"/>
  <c r="O16" i="38"/>
  <c r="O16" i="47"/>
  <c r="O16" i="46"/>
  <c r="O16" i="40"/>
  <c r="O16" i="43"/>
  <c r="DF216" i="37"/>
  <c r="O16" i="39"/>
  <c r="O16" i="45"/>
  <c r="O16" i="50"/>
  <c r="O16" i="49"/>
  <c r="O16" i="48"/>
  <c r="O16" i="44"/>
  <c r="O16" i="41"/>
  <c r="A16" i="37"/>
  <c r="O20" i="50"/>
  <c r="O20" i="45"/>
  <c r="O20" i="38"/>
  <c r="O20" i="49"/>
  <c r="O20" i="40"/>
  <c r="O20" i="48"/>
  <c r="O20" i="44"/>
  <c r="O20" i="41"/>
  <c r="O20" i="39"/>
  <c r="O20" i="43"/>
  <c r="DF220" i="37"/>
  <c r="O20" i="46"/>
  <c r="O20" i="47"/>
  <c r="A20" i="37"/>
  <c r="DF219" i="37"/>
  <c r="O19" i="48"/>
  <c r="O19" i="43"/>
  <c r="O19" i="47"/>
  <c r="O19" i="46"/>
  <c r="O19" i="45"/>
  <c r="O19" i="39"/>
  <c r="O19" i="40"/>
  <c r="O19" i="38"/>
  <c r="O19" i="44"/>
  <c r="O19" i="50"/>
  <c r="O19" i="49"/>
  <c r="O19" i="41"/>
  <c r="A19" i="37"/>
  <c r="O14" i="48"/>
  <c r="DF214" i="37"/>
  <c r="O14" i="50"/>
  <c r="O14" i="40"/>
  <c r="O14" i="49"/>
  <c r="O14" i="39"/>
  <c r="O14" i="44"/>
  <c r="O14" i="47"/>
  <c r="O14" i="46"/>
  <c r="O14" i="41"/>
  <c r="O14" i="38"/>
  <c r="O14" i="45"/>
  <c r="O14" i="43"/>
  <c r="O27" i="40"/>
  <c r="O27" i="48"/>
  <c r="DF227" i="37"/>
  <c r="O27" i="38"/>
  <c r="AA30" i="38" s="1"/>
  <c r="O27" i="41"/>
  <c r="O27" i="50"/>
  <c r="O27" i="49"/>
  <c r="O27" i="43"/>
  <c r="O27" i="44"/>
  <c r="O27" i="39"/>
  <c r="O27" i="45"/>
  <c r="O27" i="46"/>
  <c r="O27" i="47"/>
  <c r="A27" i="37"/>
  <c r="O21" i="49"/>
  <c r="DF221" i="37"/>
  <c r="O21" i="43"/>
  <c r="O21" i="50"/>
  <c r="O21" i="45"/>
  <c r="O21" i="44"/>
  <c r="O21" i="38"/>
  <c r="AA24" i="38" s="1"/>
  <c r="O21" i="48"/>
  <c r="O21" i="40"/>
  <c r="O21" i="47"/>
  <c r="O21" i="46"/>
  <c r="O21" i="39"/>
  <c r="O21" i="41"/>
  <c r="A21" i="37"/>
  <c r="O12" i="46"/>
  <c r="O12" i="39"/>
  <c r="O12" i="49"/>
  <c r="O12" i="38"/>
  <c r="O12" i="47"/>
  <c r="O12" i="50"/>
  <c r="DF212" i="37"/>
  <c r="O12" i="45"/>
  <c r="O12" i="40"/>
  <c r="O12" i="43"/>
  <c r="O12" i="41"/>
  <c r="O12" i="44"/>
  <c r="O12" i="48"/>
  <c r="A12" i="37"/>
  <c r="O26" i="46"/>
  <c r="O26" i="43"/>
  <c r="O26" i="49"/>
  <c r="DF226" i="37"/>
  <c r="O26" i="38"/>
  <c r="AA29" i="38" s="1"/>
  <c r="O26" i="44"/>
  <c r="O26" i="39"/>
  <c r="O26" i="40"/>
  <c r="O26" i="50"/>
  <c r="O26" i="45"/>
  <c r="O26" i="41"/>
  <c r="O26" i="48"/>
  <c r="O26" i="47"/>
  <c r="A26" i="37"/>
  <c r="O15" i="38"/>
  <c r="O15" i="47"/>
  <c r="O15" i="49"/>
  <c r="O15" i="50"/>
  <c r="O15" i="41"/>
  <c r="O15" i="45"/>
  <c r="O15" i="48"/>
  <c r="O15" i="43"/>
  <c r="DF215" i="37"/>
  <c r="O15" i="46"/>
  <c r="O15" i="39"/>
  <c r="O15" i="44"/>
  <c r="O15" i="40"/>
  <c r="O25" i="48"/>
  <c r="O25" i="50"/>
  <c r="DF225" i="37"/>
  <c r="O25" i="39"/>
  <c r="O25" i="40"/>
  <c r="O25" i="45"/>
  <c r="O25" i="41"/>
  <c r="O25" i="47"/>
  <c r="O25" i="43"/>
  <c r="O25" i="49"/>
  <c r="O25" i="38"/>
  <c r="AA28" i="38" s="1"/>
  <c r="O25" i="46"/>
  <c r="O25" i="44"/>
  <c r="A25" i="37"/>
  <c r="O22" i="45"/>
  <c r="O22" i="41"/>
  <c r="O22" i="44"/>
  <c r="O22" i="49"/>
  <c r="DF222" i="37"/>
  <c r="O22" i="46"/>
  <c r="O22" i="43"/>
  <c r="O22" i="47"/>
  <c r="O22" i="48"/>
  <c r="O22" i="39"/>
  <c r="O22" i="50"/>
  <c r="O22" i="40"/>
  <c r="O22" i="38"/>
  <c r="AA25" i="38" s="1"/>
  <c r="A22" i="37"/>
  <c r="O13" i="38"/>
  <c r="O13" i="39"/>
  <c r="O13" i="40"/>
  <c r="O13" i="41"/>
  <c r="O13" i="46"/>
  <c r="O13" i="43"/>
  <c r="O13" i="45"/>
  <c r="O13" i="49"/>
  <c r="O13" i="48"/>
  <c r="O13" i="50"/>
  <c r="O13" i="47"/>
  <c r="DF213" i="37"/>
  <c r="O13" i="44"/>
  <c r="A13" i="37"/>
  <c r="O18" i="38"/>
  <c r="O18" i="44"/>
  <c r="O18" i="40"/>
  <c r="DF218" i="37"/>
  <c r="O18" i="46"/>
  <c r="O18" i="45"/>
  <c r="O18" i="49"/>
  <c r="O18" i="50"/>
  <c r="O18" i="43"/>
  <c r="O18" i="47"/>
  <c r="O18" i="39"/>
  <c r="O18" i="41"/>
  <c r="O18" i="48"/>
  <c r="A18" i="37"/>
  <c r="AP47" i="37"/>
  <c r="AQ48" i="37"/>
  <c r="AR48" i="37" s="1"/>
  <c r="AN21" i="37"/>
  <c r="AM21" i="37"/>
  <c r="AO20" i="37"/>
  <c r="AQ59" i="37"/>
  <c r="AR59" i="37" s="1"/>
  <c r="AE45" i="37"/>
  <c r="AC46" i="37"/>
  <c r="DE224" i="37"/>
  <c r="N24" i="43"/>
  <c r="N24" i="45"/>
  <c r="N24" i="44"/>
  <c r="N24" i="50"/>
  <c r="N24" i="40"/>
  <c r="N24" i="48"/>
  <c r="N24" i="46"/>
  <c r="N24" i="41"/>
  <c r="N24" i="47"/>
  <c r="N24" i="39"/>
  <c r="N24" i="38"/>
  <c r="N24" i="49"/>
  <c r="DE223" i="37"/>
  <c r="N23" i="49"/>
  <c r="N23" i="48"/>
  <c r="N23" i="43"/>
  <c r="N23" i="40"/>
  <c r="N23" i="44"/>
  <c r="N23" i="47"/>
  <c r="N23" i="41"/>
  <c r="N23" i="39"/>
  <c r="N23" i="45"/>
  <c r="N23" i="46"/>
  <c r="N23" i="38"/>
  <c r="N23" i="50"/>
  <c r="DE217" i="37"/>
  <c r="N17" i="45"/>
  <c r="N17" i="47"/>
  <c r="N17" i="38"/>
  <c r="N17" i="40"/>
  <c r="N17" i="43"/>
  <c r="N17" i="39"/>
  <c r="N17" i="41"/>
  <c r="N17" i="49"/>
  <c r="N17" i="44"/>
  <c r="N17" i="48"/>
  <c r="N17" i="50"/>
  <c r="N17" i="46"/>
  <c r="DE216" i="37"/>
  <c r="N16" i="50"/>
  <c r="N16" i="47"/>
  <c r="N16" i="40"/>
  <c r="N16" i="38"/>
  <c r="N16" i="41"/>
  <c r="N16" i="39"/>
  <c r="N16" i="45"/>
  <c r="N16" i="49"/>
  <c r="N16" i="43"/>
  <c r="N16" i="44"/>
  <c r="N16" i="48"/>
  <c r="N16" i="46"/>
  <c r="DE220" i="37"/>
  <c r="N20" i="47"/>
  <c r="N20" i="41"/>
  <c r="N20" i="45"/>
  <c r="N20" i="39"/>
  <c r="N20" i="44"/>
  <c r="N20" i="48"/>
  <c r="N20" i="49"/>
  <c r="N20" i="50"/>
  <c r="N20" i="40"/>
  <c r="N20" i="38"/>
  <c r="N20" i="46"/>
  <c r="N20" i="43"/>
  <c r="DE219" i="37"/>
  <c r="N19" i="50"/>
  <c r="N19" i="49"/>
  <c r="N19" i="47"/>
  <c r="N19" i="39"/>
  <c r="N19" i="45"/>
  <c r="N19" i="43"/>
  <c r="N19" i="46"/>
  <c r="N19" i="38"/>
  <c r="N19" i="40"/>
  <c r="N19" i="44"/>
  <c r="N19" i="41"/>
  <c r="N19" i="48"/>
  <c r="DE214" i="37"/>
  <c r="N14" i="50"/>
  <c r="N14" i="49"/>
  <c r="N14" i="46"/>
  <c r="N14" i="40"/>
  <c r="N14" i="47"/>
  <c r="N14" i="48"/>
  <c r="N14" i="41"/>
  <c r="N14" i="44"/>
  <c r="N14" i="45"/>
  <c r="N14" i="38"/>
  <c r="N14" i="39"/>
  <c r="N14" i="43"/>
  <c r="DE227" i="37"/>
  <c r="N27" i="46"/>
  <c r="N27" i="50"/>
  <c r="N27" i="49"/>
  <c r="N27" i="38"/>
  <c r="N27" i="39"/>
  <c r="N27" i="47"/>
  <c r="N27" i="41"/>
  <c r="N27" i="40"/>
  <c r="N27" i="48"/>
  <c r="N27" i="45"/>
  <c r="N27" i="43"/>
  <c r="N27" i="44"/>
  <c r="DE221" i="37"/>
  <c r="N21" i="48"/>
  <c r="N21" i="38"/>
  <c r="N21" i="50"/>
  <c r="N21" i="49"/>
  <c r="N21" i="40"/>
  <c r="N21" i="45"/>
  <c r="N21" i="47"/>
  <c r="N21" i="41"/>
  <c r="N21" i="44"/>
  <c r="N21" i="43"/>
  <c r="N21" i="39"/>
  <c r="N21" i="46"/>
  <c r="BG25" i="37"/>
  <c r="BG27" i="37" s="1"/>
  <c r="BK70" i="37" s="1"/>
  <c r="BK49" i="37"/>
  <c r="N11" i="37" s="1"/>
  <c r="O11" i="37" s="1"/>
  <c r="DE212" i="37"/>
  <c r="N12" i="50"/>
  <c r="N12" i="40"/>
  <c r="N12" i="43"/>
  <c r="N12" i="44"/>
  <c r="N12" i="41"/>
  <c r="N12" i="38"/>
  <c r="N12" i="48"/>
  <c r="N12" i="45"/>
  <c r="N12" i="47"/>
  <c r="N12" i="46"/>
  <c r="N12" i="49"/>
  <c r="N12" i="39"/>
  <c r="N26" i="43"/>
  <c r="N26" i="45"/>
  <c r="N26" i="48"/>
  <c r="N26" i="47"/>
  <c r="DE226" i="37"/>
  <c r="N26" i="39"/>
  <c r="N26" i="46"/>
  <c r="N26" i="50"/>
  <c r="N26" i="38"/>
  <c r="N26" i="40"/>
  <c r="N26" i="44"/>
  <c r="N26" i="41"/>
  <c r="N26" i="49"/>
  <c r="DE215" i="37"/>
  <c r="N15" i="50"/>
  <c r="N15" i="44"/>
  <c r="N15" i="47"/>
  <c r="N15" i="38"/>
  <c r="N15" i="46"/>
  <c r="N15" i="41"/>
  <c r="N15" i="48"/>
  <c r="N15" i="43"/>
  <c r="N15" i="49"/>
  <c r="N15" i="40"/>
  <c r="N15" i="39"/>
  <c r="N15" i="45"/>
  <c r="N25" i="46"/>
  <c r="N25" i="39"/>
  <c r="N25" i="38"/>
  <c r="DE225" i="37"/>
  <c r="N25" i="41"/>
  <c r="N25" i="47"/>
  <c r="N25" i="43"/>
  <c r="N25" i="40"/>
  <c r="N25" i="50"/>
  <c r="N25" i="48"/>
  <c r="N25" i="45"/>
  <c r="N25" i="44"/>
  <c r="N25" i="49"/>
  <c r="DE222" i="37"/>
  <c r="N22" i="48"/>
  <c r="N22" i="50"/>
  <c r="N22" i="41"/>
  <c r="N22" i="46"/>
  <c r="N22" i="44"/>
  <c r="N22" i="47"/>
  <c r="N22" i="49"/>
  <c r="N22" i="38"/>
  <c r="N22" i="40"/>
  <c r="N22" i="43"/>
  <c r="N22" i="39"/>
  <c r="N22" i="45"/>
  <c r="DE213" i="37"/>
  <c r="N13" i="44"/>
  <c r="N13" i="40"/>
  <c r="N13" i="43"/>
  <c r="N13" i="41"/>
  <c r="N13" i="50"/>
  <c r="N13" i="39"/>
  <c r="N13" i="46"/>
  <c r="N13" i="48"/>
  <c r="N13" i="45"/>
  <c r="N13" i="47"/>
  <c r="N13" i="38"/>
  <c r="N13" i="49"/>
  <c r="DE218" i="37"/>
  <c r="N18" i="40"/>
  <c r="N18" i="43"/>
  <c r="N18" i="39"/>
  <c r="N18" i="44"/>
  <c r="N18" i="48"/>
  <c r="N18" i="49"/>
  <c r="N18" i="46"/>
  <c r="N18" i="50"/>
  <c r="N18" i="47"/>
  <c r="N18" i="38"/>
  <c r="N18" i="45"/>
  <c r="N18" i="41"/>
  <c r="AQ25" i="36"/>
  <c r="AQ87" i="36" s="1"/>
  <c r="AO25" i="36"/>
  <c r="AR25" i="36"/>
  <c r="AR87" i="36" s="1"/>
  <c r="AW32" i="36"/>
  <c r="AT32" i="36" s="1"/>
  <c r="AU31" i="36"/>
  <c r="AV31" i="36" s="1"/>
  <c r="AO86" i="36"/>
  <c r="AT86" i="36" s="1"/>
  <c r="AC54" i="36"/>
  <c r="AE53" i="36"/>
  <c r="AC62" i="35"/>
  <c r="AE61" i="35"/>
  <c r="O11" i="44" l="1"/>
  <c r="O11" i="40"/>
  <c r="O11" i="48"/>
  <c r="DF211" i="37"/>
  <c r="O11" i="49"/>
  <c r="O11" i="50"/>
  <c r="O11" i="43"/>
  <c r="O11" i="45"/>
  <c r="O11" i="39"/>
  <c r="O11" i="47"/>
  <c r="O11" i="46"/>
  <c r="O11" i="38"/>
  <c r="O11" i="41"/>
  <c r="O32" i="37"/>
  <c r="DA218" i="37"/>
  <c r="A18" i="38"/>
  <c r="BI12" i="37"/>
  <c r="BN15" i="37"/>
  <c r="AA21" i="38"/>
  <c r="BJ12" i="38"/>
  <c r="DA213" i="37"/>
  <c r="BI7" i="37"/>
  <c r="A13" i="38"/>
  <c r="BN10" i="37"/>
  <c r="AA16" i="38"/>
  <c r="BJ7" i="38"/>
  <c r="DA222" i="37"/>
  <c r="BN19" i="37"/>
  <c r="BI16" i="37"/>
  <c r="A22" i="38"/>
  <c r="AK59" i="38"/>
  <c r="AL59" i="38" s="1"/>
  <c r="AC25" i="38"/>
  <c r="BO19" i="38"/>
  <c r="DA225" i="37"/>
  <c r="BN22" i="37"/>
  <c r="A25" i="38"/>
  <c r="BI19" i="37"/>
  <c r="AK62" i="38"/>
  <c r="AL62" i="38" s="1"/>
  <c r="BO22" i="38"/>
  <c r="AC28" i="38"/>
  <c r="AA18" i="38"/>
  <c r="BJ9" i="38"/>
  <c r="DA226" i="37"/>
  <c r="BN23" i="37"/>
  <c r="A26" i="38"/>
  <c r="BI20" i="37"/>
  <c r="AC29" i="38"/>
  <c r="BO23" i="38"/>
  <c r="AK63" i="38"/>
  <c r="AL63" i="38" s="1"/>
  <c r="DA212" i="37"/>
  <c r="BI6" i="37"/>
  <c r="BN9" i="37"/>
  <c r="A12" i="38"/>
  <c r="AA15" i="38"/>
  <c r="BJ6" i="38"/>
  <c r="DA221" i="37"/>
  <c r="BN18" i="37"/>
  <c r="A21" i="38"/>
  <c r="BI15" i="37"/>
  <c r="AC24" i="38"/>
  <c r="AK58" i="38"/>
  <c r="AL58" i="38" s="1"/>
  <c r="BO18" i="38"/>
  <c r="DA227" i="37"/>
  <c r="BN24" i="37"/>
  <c r="A27" i="38"/>
  <c r="BI21" i="37"/>
  <c r="AK64" i="38"/>
  <c r="AL64" i="38" s="1"/>
  <c r="BO24" i="38"/>
  <c r="AC30" i="38"/>
  <c r="AA17" i="38"/>
  <c r="BJ8" i="38"/>
  <c r="DA219" i="37"/>
  <c r="A19" i="38"/>
  <c r="BN16" i="37"/>
  <c r="BI13" i="37"/>
  <c r="AA22" i="38"/>
  <c r="BJ13" i="38"/>
  <c r="DA220" i="37"/>
  <c r="BN17" i="37"/>
  <c r="A20" i="38"/>
  <c r="BI14" i="37"/>
  <c r="AA23" i="38"/>
  <c r="BJ14" i="38"/>
  <c r="DA216" i="37"/>
  <c r="A16" i="38"/>
  <c r="BI10" i="37"/>
  <c r="BN13" i="37"/>
  <c r="AA19" i="38"/>
  <c r="BJ10" i="38"/>
  <c r="AA20" i="38"/>
  <c r="BJ11" i="38"/>
  <c r="DA223" i="37"/>
  <c r="A23" i="38"/>
  <c r="BI17" i="37"/>
  <c r="BN20" i="37"/>
  <c r="AC26" i="38"/>
  <c r="AK60" i="38"/>
  <c r="AL60" i="38" s="1"/>
  <c r="BO20" i="38"/>
  <c r="DA224" i="37"/>
  <c r="BI18" i="37"/>
  <c r="BN21" i="37"/>
  <c r="A24" i="38"/>
  <c r="AC27" i="38"/>
  <c r="AK61" i="38"/>
  <c r="AL61" i="38" s="1"/>
  <c r="BO21" i="38"/>
  <c r="DE211" i="37"/>
  <c r="N11" i="46"/>
  <c r="N11" i="40"/>
  <c r="N11" i="44"/>
  <c r="N11" i="47"/>
  <c r="N11" i="38"/>
  <c r="N11" i="50"/>
  <c r="N11" i="41"/>
  <c r="N11" i="49"/>
  <c r="N11" i="48"/>
  <c r="N11" i="45"/>
  <c r="N11" i="39"/>
  <c r="N11" i="43"/>
  <c r="AE46" i="37"/>
  <c r="AC47" i="37"/>
  <c r="AO82" i="37"/>
  <c r="AU27" i="37"/>
  <c r="AV27" i="37" s="1"/>
  <c r="AQ6" i="37"/>
  <c r="AR20" i="37"/>
  <c r="AR82" i="37" s="1"/>
  <c r="AW27" i="37"/>
  <c r="AT27" i="37" s="1"/>
  <c r="AQ21" i="37"/>
  <c r="AQ83" i="37" s="1"/>
  <c r="AQ55" i="37"/>
  <c r="AR55" i="37" s="1"/>
  <c r="AP46" i="37"/>
  <c r="AL22" i="37" s="1"/>
  <c r="AQ67" i="37"/>
  <c r="AR67" i="37" s="1"/>
  <c r="AQ66" i="37"/>
  <c r="AR66" i="37" s="1"/>
  <c r="AQ65" i="37"/>
  <c r="AR65" i="37" s="1"/>
  <c r="AQ61" i="37"/>
  <c r="AR61" i="37" s="1"/>
  <c r="AQ60" i="37"/>
  <c r="AR60" i="37" s="1"/>
  <c r="AQ63" i="37"/>
  <c r="AR63" i="37" s="1"/>
  <c r="AQ64" i="37"/>
  <c r="AR64" i="37" s="1"/>
  <c r="AQ58" i="37"/>
  <c r="AR58" i="37" s="1"/>
  <c r="AQ62" i="37"/>
  <c r="AR62" i="37" s="1"/>
  <c r="AQ53" i="37"/>
  <c r="AR53" i="37" s="1"/>
  <c r="AQ51" i="37"/>
  <c r="AR51" i="37" s="1"/>
  <c r="AQ49" i="37"/>
  <c r="AR49" i="37" s="1"/>
  <c r="AQ56" i="37"/>
  <c r="AR56" i="37" s="1"/>
  <c r="AQ54" i="37"/>
  <c r="AR54" i="37" s="1"/>
  <c r="AQ57" i="37"/>
  <c r="AR57" i="37" s="1"/>
  <c r="AQ52" i="37"/>
  <c r="AR52" i="37" s="1"/>
  <c r="AQ50" i="37"/>
  <c r="AR50" i="37" s="1"/>
  <c r="AE54" i="36"/>
  <c r="AC55" i="36"/>
  <c r="AU32" i="36"/>
  <c r="AV32" i="36" s="1"/>
  <c r="AV26" i="36" s="1"/>
  <c r="AO87" i="36"/>
  <c r="AT87" i="36" s="1"/>
  <c r="AT89" i="36" s="1"/>
  <c r="AQ9" i="36" s="1"/>
  <c r="AE62" i="35"/>
  <c r="AC63" i="35"/>
  <c r="AE63" i="35" s="1"/>
  <c r="DA224" i="38" l="1"/>
  <c r="A24" i="39"/>
  <c r="BI18" i="38"/>
  <c r="BN21" i="38"/>
  <c r="DA223" i="38"/>
  <c r="BN20" i="38"/>
  <c r="A23" i="39"/>
  <c r="BI17" i="38"/>
  <c r="AK54" i="38"/>
  <c r="AL54" i="38" s="1"/>
  <c r="AC20" i="38"/>
  <c r="AE20" i="38"/>
  <c r="AF20" i="38" s="1"/>
  <c r="AG20" i="38" s="1"/>
  <c r="BO14" i="38"/>
  <c r="AC19" i="38"/>
  <c r="AK53" i="38"/>
  <c r="AL53" i="38" s="1"/>
  <c r="AE19" i="38"/>
  <c r="AF19" i="38" s="1"/>
  <c r="AG19" i="38" s="1"/>
  <c r="BO13" i="38"/>
  <c r="DA216" i="38"/>
  <c r="BN13" i="38"/>
  <c r="BI10" i="38"/>
  <c r="A16" i="39"/>
  <c r="AK57" i="38"/>
  <c r="AL57" i="38" s="1"/>
  <c r="AC23" i="38"/>
  <c r="AE23" i="38"/>
  <c r="AF23" i="38" s="1"/>
  <c r="AG23" i="38" s="1"/>
  <c r="BO17" i="38"/>
  <c r="DA220" i="38"/>
  <c r="BI14" i="38"/>
  <c r="BN17" i="38"/>
  <c r="A20" i="39"/>
  <c r="AC22" i="38"/>
  <c r="AK56" i="38"/>
  <c r="AL56" i="38" s="1"/>
  <c r="AE22" i="38"/>
  <c r="AF22" i="38" s="1"/>
  <c r="AG22" i="38" s="1"/>
  <c r="BO16" i="38"/>
  <c r="DA219" i="38"/>
  <c r="A19" i="39"/>
  <c r="BN16" i="38"/>
  <c r="BI13" i="38"/>
  <c r="AK51" i="38"/>
  <c r="AL51" i="38" s="1"/>
  <c r="AC17" i="38"/>
  <c r="AE17" i="38"/>
  <c r="AF17" i="38" s="1"/>
  <c r="AG17" i="38" s="1"/>
  <c r="BO11" i="38"/>
  <c r="DA227" i="38"/>
  <c r="BI21" i="38"/>
  <c r="A27" i="39"/>
  <c r="BN24" i="38"/>
  <c r="DA221" i="38"/>
  <c r="A21" i="39"/>
  <c r="BI15" i="38"/>
  <c r="BN18" i="38"/>
  <c r="AC15" i="38"/>
  <c r="AK49" i="38"/>
  <c r="AL49" i="38" s="1"/>
  <c r="AE15" i="38"/>
  <c r="AF15" i="38" s="1"/>
  <c r="AG15" i="38" s="1"/>
  <c r="BO9" i="38"/>
  <c r="DA212" i="38"/>
  <c r="BI6" i="38"/>
  <c r="A12" i="39"/>
  <c r="BN9" i="38"/>
  <c r="DA226" i="38"/>
  <c r="BI20" i="38"/>
  <c r="A26" i="39"/>
  <c r="BN23" i="38"/>
  <c r="AC18" i="38"/>
  <c r="AK52" i="38"/>
  <c r="AL52" i="38" s="1"/>
  <c r="AE18" i="38"/>
  <c r="AF18" i="38" s="1"/>
  <c r="AG18" i="38" s="1"/>
  <c r="BO12" i="38"/>
  <c r="DA225" i="38"/>
  <c r="A25" i="39"/>
  <c r="BI19" i="38"/>
  <c r="BN22" i="38"/>
  <c r="DA222" i="38"/>
  <c r="BI16" i="38"/>
  <c r="A22" i="39"/>
  <c r="BN19" i="38"/>
  <c r="AK50" i="38"/>
  <c r="AL50" i="38" s="1"/>
  <c r="AC16" i="38"/>
  <c r="AE16" i="38"/>
  <c r="AF16" i="38" s="1"/>
  <c r="AG16" i="38" s="1"/>
  <c r="BO10" i="38"/>
  <c r="DA213" i="38"/>
  <c r="BN10" i="38"/>
  <c r="A13" i="39"/>
  <c r="BI7" i="38"/>
  <c r="AC21" i="38"/>
  <c r="AK55" i="38"/>
  <c r="AL55" i="38" s="1"/>
  <c r="AE21" i="38"/>
  <c r="AF21" i="38" s="1"/>
  <c r="AG21" i="38" s="1"/>
  <c r="BO15" i="38"/>
  <c r="DA218" i="38"/>
  <c r="BI12" i="38"/>
  <c r="A18" i="39"/>
  <c r="BN15" i="38"/>
  <c r="DF232" i="37"/>
  <c r="O32" i="48"/>
  <c r="O33" i="48" s="1"/>
  <c r="O32" i="43"/>
  <c r="O33" i="43" s="1"/>
  <c r="O32" i="38"/>
  <c r="O33" i="38" s="1"/>
  <c r="O32" i="45"/>
  <c r="O33" i="45" s="1"/>
  <c r="O32" i="50"/>
  <c r="O33" i="50" s="1"/>
  <c r="O32" i="49"/>
  <c r="O33" i="49" s="1"/>
  <c r="O32" i="39"/>
  <c r="O33" i="39" s="1"/>
  <c r="O32" i="44"/>
  <c r="O33" i="44" s="1"/>
  <c r="O32" i="41"/>
  <c r="O33" i="41" s="1"/>
  <c r="O32" i="47"/>
  <c r="O33" i="47" s="1"/>
  <c r="O32" i="40"/>
  <c r="O33" i="40" s="1"/>
  <c r="O32" i="46"/>
  <c r="O33" i="46" s="1"/>
  <c r="O33" i="37"/>
  <c r="AA14" i="38"/>
  <c r="BJ5" i="38"/>
  <c r="AR47" i="37"/>
  <c r="AT51" i="37"/>
  <c r="AU51" i="37" s="1"/>
  <c r="AT53" i="37"/>
  <c r="AU53" i="37" s="1"/>
  <c r="AT62" i="37"/>
  <c r="AU62" i="37" s="1"/>
  <c r="AT58" i="37"/>
  <c r="AU58" i="37" s="1"/>
  <c r="AT64" i="37"/>
  <c r="AU64" i="37" s="1"/>
  <c r="AT63" i="37"/>
  <c r="AU63" i="37" s="1"/>
  <c r="AT60" i="37"/>
  <c r="AU60" i="37" s="1"/>
  <c r="AT61" i="37"/>
  <c r="AU61" i="37" s="1"/>
  <c r="AT65" i="37"/>
  <c r="AU65" i="37" s="1"/>
  <c r="AT66" i="37"/>
  <c r="AU66" i="37" s="1"/>
  <c r="AT67" i="37"/>
  <c r="AU67" i="37" s="1"/>
  <c r="AN22" i="37"/>
  <c r="AM22" i="37"/>
  <c r="AO21" i="37"/>
  <c r="AT55" i="37"/>
  <c r="AU55" i="37" s="1"/>
  <c r="AT82" i="37"/>
  <c r="AE47" i="37"/>
  <c r="AC48" i="37"/>
  <c r="AE55" i="36"/>
  <c r="AC56" i="36"/>
  <c r="AC14" i="38" l="1"/>
  <c r="AK48" i="38"/>
  <c r="AL48" i="38" s="1"/>
  <c r="BO8" i="38"/>
  <c r="AE14" i="38"/>
  <c r="AF14" i="38" s="1"/>
  <c r="DA218" i="39"/>
  <c r="A18" i="40"/>
  <c r="BI12" i="39"/>
  <c r="BN15" i="39"/>
  <c r="DA213" i="39"/>
  <c r="BI7" i="39"/>
  <c r="BN10" i="39"/>
  <c r="A13" i="40"/>
  <c r="DA222" i="39"/>
  <c r="BN19" i="39"/>
  <c r="BI16" i="39"/>
  <c r="A22" i="40"/>
  <c r="DA225" i="39"/>
  <c r="A25" i="40"/>
  <c r="BI19" i="39"/>
  <c r="BN22" i="39"/>
  <c r="DA226" i="39"/>
  <c r="BI20" i="39"/>
  <c r="BN23" i="39"/>
  <c r="A26" i="40"/>
  <c r="DA212" i="39"/>
  <c r="BN9" i="39"/>
  <c r="A12" i="40"/>
  <c r="BI6" i="39"/>
  <c r="DA221" i="39"/>
  <c r="A21" i="40"/>
  <c r="BI15" i="39"/>
  <c r="BN18" i="39"/>
  <c r="DA227" i="39"/>
  <c r="A27" i="40"/>
  <c r="BI21" i="39"/>
  <c r="BN24" i="39"/>
  <c r="DA219" i="39"/>
  <c r="BN16" i="39"/>
  <c r="A19" i="40"/>
  <c r="BI13" i="39"/>
  <c r="DA220" i="39"/>
  <c r="A20" i="40"/>
  <c r="BN17" i="39"/>
  <c r="BI14" i="39"/>
  <c r="DA216" i="39"/>
  <c r="A16" i="40"/>
  <c r="BN13" i="39"/>
  <c r="BI10" i="39"/>
  <c r="DA223" i="39"/>
  <c r="BN20" i="39"/>
  <c r="A23" i="40"/>
  <c r="BI17" i="39"/>
  <c r="DA224" i="39"/>
  <c r="BN21" i="39"/>
  <c r="BI18" i="39"/>
  <c r="A24" i="40"/>
  <c r="AC49" i="37"/>
  <c r="AE48" i="37"/>
  <c r="AO83" i="37"/>
  <c r="AU28" i="37"/>
  <c r="AV28" i="37" s="1"/>
  <c r="AW28" i="37"/>
  <c r="AT28" i="37" s="1"/>
  <c r="AR21" i="37"/>
  <c r="AR83" i="37" s="1"/>
  <c r="AR22" i="37"/>
  <c r="AR84" i="37" s="1"/>
  <c r="AQ22" i="37"/>
  <c r="AQ84" i="37" s="1"/>
  <c r="AO22" i="37"/>
  <c r="AR46" i="37"/>
  <c r="AL23" i="37" s="1"/>
  <c r="AT59" i="37"/>
  <c r="AU59" i="37" s="1"/>
  <c r="AT48" i="37"/>
  <c r="AU48" i="37" s="1"/>
  <c r="AT50" i="37"/>
  <c r="AU50" i="37" s="1"/>
  <c r="AT52" i="37"/>
  <c r="AU52" i="37" s="1"/>
  <c r="AT57" i="37"/>
  <c r="AU57" i="37" s="1"/>
  <c r="AT54" i="37"/>
  <c r="AU54" i="37" s="1"/>
  <c r="AT56" i="37"/>
  <c r="AU56" i="37" s="1"/>
  <c r="AT49" i="37"/>
  <c r="AU49" i="37" s="1"/>
  <c r="AC57" i="36"/>
  <c r="AE56" i="36"/>
  <c r="DA224" i="40" l="1"/>
  <c r="BI18" i="40"/>
  <c r="BN21" i="40"/>
  <c r="A24" i="41"/>
  <c r="DA223" i="40"/>
  <c r="A23" i="41"/>
  <c r="BN20" i="40"/>
  <c r="BI17" i="40"/>
  <c r="DA216" i="40"/>
  <c r="A16" i="41"/>
  <c r="BI10" i="40"/>
  <c r="BN13" i="40"/>
  <c r="DA220" i="40"/>
  <c r="A20" i="41"/>
  <c r="BN17" i="40"/>
  <c r="BI14" i="40"/>
  <c r="DA219" i="40"/>
  <c r="BN16" i="40"/>
  <c r="BI13" i="40"/>
  <c r="A19" i="41"/>
  <c r="DA227" i="40"/>
  <c r="A27" i="41"/>
  <c r="BN24" i="40"/>
  <c r="BI21" i="40"/>
  <c r="DA221" i="40"/>
  <c r="BN18" i="40"/>
  <c r="BI15" i="40"/>
  <c r="A21" i="41"/>
  <c r="DA212" i="40"/>
  <c r="A12" i="41"/>
  <c r="BN9" i="40"/>
  <c r="BI6" i="40"/>
  <c r="DA226" i="40"/>
  <c r="A26" i="41"/>
  <c r="BN23" i="40"/>
  <c r="BI20" i="40"/>
  <c r="DA225" i="40"/>
  <c r="BN22" i="40"/>
  <c r="A25" i="41"/>
  <c r="BI19" i="40"/>
  <c r="DA222" i="40"/>
  <c r="BN19" i="40"/>
  <c r="A22" i="41"/>
  <c r="BI16" i="40"/>
  <c r="DA213" i="40"/>
  <c r="BI7" i="40"/>
  <c r="BN10" i="40"/>
  <c r="A13" i="41"/>
  <c r="DA218" i="40"/>
  <c r="A18" i="41"/>
  <c r="BN15" i="40"/>
  <c r="BI12" i="40"/>
  <c r="AG14" i="38"/>
  <c r="AG2" i="38"/>
  <c r="AG3" i="38"/>
  <c r="BC12" i="38" s="1"/>
  <c r="Z44" i="38" a="1"/>
  <c r="AL47" i="38"/>
  <c r="AU47" i="37"/>
  <c r="AV48" i="37"/>
  <c r="AW48" i="37" s="1"/>
  <c r="AV59" i="37"/>
  <c r="AW59" i="37" s="1"/>
  <c r="AM23" i="37"/>
  <c r="AW29" i="37" s="1"/>
  <c r="AT29" i="37" s="1"/>
  <c r="AN23" i="37"/>
  <c r="AO84" i="37"/>
  <c r="AT84" i="37" s="1"/>
  <c r="AU29" i="37"/>
  <c r="AV29" i="37" s="1"/>
  <c r="AT83" i="37"/>
  <c r="AC50" i="37"/>
  <c r="AE49" i="37"/>
  <c r="AE57" i="36"/>
  <c r="AC58" i="36"/>
  <c r="AM48" i="38" l="1"/>
  <c r="AN48" i="38" s="1"/>
  <c r="AM65" i="38"/>
  <c r="AN65" i="38" s="1"/>
  <c r="AL46" i="38"/>
  <c r="AL20" i="38" s="1"/>
  <c r="AN20" i="38" s="1"/>
  <c r="AM66" i="38"/>
  <c r="AN66" i="38" s="1"/>
  <c r="AM67" i="38"/>
  <c r="AN67" i="38" s="1"/>
  <c r="AM61" i="38"/>
  <c r="AN61" i="38" s="1"/>
  <c r="AM60" i="38"/>
  <c r="AN60" i="38" s="1"/>
  <c r="AM64" i="38"/>
  <c r="AN64" i="38" s="1"/>
  <c r="AM58" i="38"/>
  <c r="AN58" i="38" s="1"/>
  <c r="AM63" i="38"/>
  <c r="AN63" i="38" s="1"/>
  <c r="AM62" i="38"/>
  <c r="AN62" i="38" s="1"/>
  <c r="AM59" i="38"/>
  <c r="AN59" i="38" s="1"/>
  <c r="AM55" i="38"/>
  <c r="AN55" i="38" s="1"/>
  <c r="AM50" i="38"/>
  <c r="AN50" i="38" s="1"/>
  <c r="AM52" i="38"/>
  <c r="AN52" i="38" s="1"/>
  <c r="AM49" i="38"/>
  <c r="AN49" i="38" s="1"/>
  <c r="AM51" i="38"/>
  <c r="AN51" i="38" s="1"/>
  <c r="AM56" i="38"/>
  <c r="AN56" i="38" s="1"/>
  <c r="AM57" i="38"/>
  <c r="AN57" i="38" s="1"/>
  <c r="AM53" i="38"/>
  <c r="AN53" i="38" s="1"/>
  <c r="AM54" i="38"/>
  <c r="AN54" i="38" s="1"/>
  <c r="AA63" i="38"/>
  <c r="Z62" i="38"/>
  <c r="AB60" i="38"/>
  <c r="AA59" i="38"/>
  <c r="Z58" i="38"/>
  <c r="AB56" i="38"/>
  <c r="AA55" i="38"/>
  <c r="Z54" i="38"/>
  <c r="AB52" i="38"/>
  <c r="AA51" i="38"/>
  <c r="Z50" i="38"/>
  <c r="AB48" i="38"/>
  <c r="AA47" i="38"/>
  <c r="Z46" i="38"/>
  <c r="AB44" i="38"/>
  <c r="AA62" i="38"/>
  <c r="AA60" i="38"/>
  <c r="AB58" i="38"/>
  <c r="Z57" i="38"/>
  <c r="Z55" i="38"/>
  <c r="AA53" i="38"/>
  <c r="AB51" i="38"/>
  <c r="AB49" i="38"/>
  <c r="Z48" i="38"/>
  <c r="AA46" i="38"/>
  <c r="AA44" i="38"/>
  <c r="Z63" i="38"/>
  <c r="Z61" i="38"/>
  <c r="AA58" i="38"/>
  <c r="Z56" i="38"/>
  <c r="AB53" i="38"/>
  <c r="Z51" i="38"/>
  <c r="Z49" i="38"/>
  <c r="AB46" i="38"/>
  <c r="Z44" i="38"/>
  <c r="AB62" i="38"/>
  <c r="Z60" i="38"/>
  <c r="AB57" i="38"/>
  <c r="AB55" i="38"/>
  <c r="Z53" i="38"/>
  <c r="AB50" i="38"/>
  <c r="AA48" i="38"/>
  <c r="AB45" i="38"/>
  <c r="AA61" i="38"/>
  <c r="AA56" i="38"/>
  <c r="Z52" i="38"/>
  <c r="Z47" i="38"/>
  <c r="AB59" i="38"/>
  <c r="AB54" i="38"/>
  <c r="AA50" i="38"/>
  <c r="AA45" i="38"/>
  <c r="AB63" i="38"/>
  <c r="Z59" i="38"/>
  <c r="AA54" i="38"/>
  <c r="AA49" i="38"/>
  <c r="Z45" i="38"/>
  <c r="AB61" i="38"/>
  <c r="AA57" i="38"/>
  <c r="AA52" i="38"/>
  <c r="AB47" i="38"/>
  <c r="BC25" i="38"/>
  <c r="BC23" i="38"/>
  <c r="BC24" i="38"/>
  <c r="BC29" i="38"/>
  <c r="BG20" i="38" s="1"/>
  <c r="BK64" i="38" s="1"/>
  <c r="P26" i="38" s="1"/>
  <c r="AC43" i="38"/>
  <c r="AC44" i="38" s="1"/>
  <c r="DA218" i="41"/>
  <c r="A64" i="43"/>
  <c r="BN15" i="41"/>
  <c r="BI12" i="41"/>
  <c r="DA213" i="41"/>
  <c r="A59" i="43"/>
  <c r="BN10" i="41"/>
  <c r="BI7" i="41"/>
  <c r="DA222" i="41"/>
  <c r="BN19" i="41"/>
  <c r="A68" i="43"/>
  <c r="BI16" i="41"/>
  <c r="DA225" i="41"/>
  <c r="BN22" i="41"/>
  <c r="BI19" i="41"/>
  <c r="A71" i="43"/>
  <c r="DA226" i="41"/>
  <c r="A72" i="43"/>
  <c r="BN23" i="41"/>
  <c r="BI20" i="41"/>
  <c r="DA212" i="41"/>
  <c r="A58" i="43"/>
  <c r="BN9" i="41"/>
  <c r="BI6" i="41"/>
  <c r="DA221" i="41"/>
  <c r="BI15" i="41"/>
  <c r="A67" i="43"/>
  <c r="BN18" i="41"/>
  <c r="DA227" i="41"/>
  <c r="BI21" i="41"/>
  <c r="A73" i="43"/>
  <c r="BN24" i="41"/>
  <c r="DA219" i="41"/>
  <c r="BN16" i="41"/>
  <c r="A65" i="43"/>
  <c r="BI13" i="41"/>
  <c r="DA220" i="41"/>
  <c r="A66" i="43"/>
  <c r="BN17" i="41"/>
  <c r="BI14" i="41"/>
  <c r="DA216" i="41"/>
  <c r="BN13" i="41"/>
  <c r="A62" i="43"/>
  <c r="BI10" i="41"/>
  <c r="DA223" i="41"/>
  <c r="BN20" i="41"/>
  <c r="A69" i="43"/>
  <c r="BI17" i="41"/>
  <c r="DA224" i="41"/>
  <c r="A70" i="43"/>
  <c r="BN21" i="41"/>
  <c r="BI18" i="41"/>
  <c r="AC51" i="37"/>
  <c r="AE50" i="37"/>
  <c r="AO23" i="37"/>
  <c r="AR23" i="37"/>
  <c r="AR85" i="37" s="1"/>
  <c r="AQ23" i="37"/>
  <c r="AQ85" i="37" s="1"/>
  <c r="AV56" i="37"/>
  <c r="AW56" i="37" s="1"/>
  <c r="AU46" i="37"/>
  <c r="AL24" i="37" s="1"/>
  <c r="AV55" i="37"/>
  <c r="AW55" i="37" s="1"/>
  <c r="AV67" i="37"/>
  <c r="AW67" i="37" s="1"/>
  <c r="AV66" i="37"/>
  <c r="AW66" i="37" s="1"/>
  <c r="AV65" i="37"/>
  <c r="AW65" i="37" s="1"/>
  <c r="AV61" i="37"/>
  <c r="AW61" i="37" s="1"/>
  <c r="AV60" i="37"/>
  <c r="AW60" i="37" s="1"/>
  <c r="AV63" i="37"/>
  <c r="AW63" i="37" s="1"/>
  <c r="AV64" i="37"/>
  <c r="AW64" i="37" s="1"/>
  <c r="AV58" i="37"/>
  <c r="AW58" i="37" s="1"/>
  <c r="AV62" i="37"/>
  <c r="AW62" i="37" s="1"/>
  <c r="AV53" i="37"/>
  <c r="AW53" i="37" s="1"/>
  <c r="AV51" i="37"/>
  <c r="AW51" i="37" s="1"/>
  <c r="AV49" i="37"/>
  <c r="AW49" i="37" s="1"/>
  <c r="AV54" i="37"/>
  <c r="AW54" i="37" s="1"/>
  <c r="AV57" i="37"/>
  <c r="AW57" i="37" s="1"/>
  <c r="AV52" i="37"/>
  <c r="AW52" i="37" s="1"/>
  <c r="AV50" i="37"/>
  <c r="AW50" i="37" s="1"/>
  <c r="AC59" i="36"/>
  <c r="AE58" i="36"/>
  <c r="DA224" i="43" l="1"/>
  <c r="BI18" i="43"/>
  <c r="A70" i="44"/>
  <c r="BN21" i="43"/>
  <c r="DA223" i="43"/>
  <c r="A69" i="44"/>
  <c r="BN20" i="43"/>
  <c r="BI17" i="43"/>
  <c r="DA216" i="43"/>
  <c r="BI10" i="43"/>
  <c r="BN13" i="43"/>
  <c r="A62" i="44"/>
  <c r="DA220" i="43"/>
  <c r="A66" i="44"/>
  <c r="BN17" i="43"/>
  <c r="BI14" i="43"/>
  <c r="DA219" i="43"/>
  <c r="BN16" i="43"/>
  <c r="BI13" i="43"/>
  <c r="A65" i="44"/>
  <c r="DA227" i="43"/>
  <c r="BI21" i="43"/>
  <c r="A73" i="44"/>
  <c r="BN24" i="43"/>
  <c r="DA221" i="43"/>
  <c r="BN18" i="43"/>
  <c r="A67" i="44"/>
  <c r="BI15" i="43"/>
  <c r="DA212" i="43"/>
  <c r="BI6" i="43"/>
  <c r="BN9" i="43"/>
  <c r="A58" i="44"/>
  <c r="DA226" i="43"/>
  <c r="BI20" i="43"/>
  <c r="BN23" i="43"/>
  <c r="A72" i="44"/>
  <c r="DA225" i="43"/>
  <c r="BI19" i="43"/>
  <c r="A71" i="44"/>
  <c r="BN22" i="43"/>
  <c r="DA222" i="43"/>
  <c r="BI16" i="43"/>
  <c r="A68" i="44"/>
  <c r="BN19" i="43"/>
  <c r="DA213" i="43"/>
  <c r="BN10" i="43"/>
  <c r="BI7" i="43"/>
  <c r="A59" i="44"/>
  <c r="DA218" i="43"/>
  <c r="A64" i="44"/>
  <c r="BI12" i="43"/>
  <c r="BN15" i="43"/>
  <c r="AE44" i="38"/>
  <c r="AC45" i="38"/>
  <c r="P26" i="45"/>
  <c r="P26" i="39"/>
  <c r="P26" i="40"/>
  <c r="P26" i="44"/>
  <c r="DE226" i="38"/>
  <c r="P26" i="49"/>
  <c r="P26" i="41"/>
  <c r="P26" i="46"/>
  <c r="P26" i="47"/>
  <c r="P26" i="48"/>
  <c r="P26" i="50"/>
  <c r="P26" i="43"/>
  <c r="BG24" i="38"/>
  <c r="BK68" i="38" s="1"/>
  <c r="BG19" i="38"/>
  <c r="BK63" i="38" s="1"/>
  <c r="P25" i="38" s="1"/>
  <c r="BG5" i="38"/>
  <c r="BG18" i="38"/>
  <c r="BK62" i="38" s="1"/>
  <c r="P24" i="38" s="1"/>
  <c r="BG22" i="38"/>
  <c r="BK66" i="38" s="1"/>
  <c r="BG11" i="38"/>
  <c r="BK55" i="38" s="1"/>
  <c r="P17" i="38" s="1"/>
  <c r="BG7" i="38"/>
  <c r="BK51" i="38" s="1"/>
  <c r="P13" i="38" s="1"/>
  <c r="BG12" i="38"/>
  <c r="BK56" i="38" s="1"/>
  <c r="P18" i="38" s="1"/>
  <c r="BG17" i="38"/>
  <c r="BK61" i="38" s="1"/>
  <c r="P23" i="38" s="1"/>
  <c r="BG13" i="38"/>
  <c r="BK57" i="38" s="1"/>
  <c r="P19" i="38" s="1"/>
  <c r="BG14" i="38"/>
  <c r="BK58" i="38" s="1"/>
  <c r="P20" i="38" s="1"/>
  <c r="BG16" i="38"/>
  <c r="BK60" i="38" s="1"/>
  <c r="P22" i="38" s="1"/>
  <c r="BG9" i="38"/>
  <c r="BK53" i="38" s="1"/>
  <c r="P15" i="38" s="1"/>
  <c r="BG21" i="38"/>
  <c r="BK65" i="38" s="1"/>
  <c r="P27" i="38" s="1"/>
  <c r="BG23" i="38"/>
  <c r="BK67" i="38" s="1"/>
  <c r="BG6" i="38"/>
  <c r="BK50" i="38" s="1"/>
  <c r="P12" i="38" s="1"/>
  <c r="BG10" i="38"/>
  <c r="BK54" i="38" s="1"/>
  <c r="P16" i="38" s="1"/>
  <c r="BG15" i="38"/>
  <c r="BK59" i="38" s="1"/>
  <c r="P21" i="38" s="1"/>
  <c r="BG8" i="38"/>
  <c r="BK52" i="38" s="1"/>
  <c r="P14" i="38" s="1"/>
  <c r="AQ20" i="38"/>
  <c r="AQ82" i="38" s="1"/>
  <c r="AN47" i="38"/>
  <c r="AO48" i="38"/>
  <c r="AP48" i="38" s="1"/>
  <c r="AW47" i="37"/>
  <c r="AW46" i="37" s="1"/>
  <c r="AL25" i="37" s="1"/>
  <c r="AN24" i="37"/>
  <c r="AM24" i="37"/>
  <c r="AW30" i="37" s="1"/>
  <c r="AT30" i="37" s="1"/>
  <c r="AO85" i="37"/>
  <c r="AT85" i="37" s="1"/>
  <c r="AU30" i="37"/>
  <c r="AV30" i="37" s="1"/>
  <c r="AC52" i="37"/>
  <c r="AE51" i="37"/>
  <c r="AE59" i="36"/>
  <c r="AC60" i="36"/>
  <c r="AN46" i="38" l="1"/>
  <c r="AL21" i="38" s="1"/>
  <c r="AO54" i="38"/>
  <c r="AP54" i="38" s="1"/>
  <c r="AO53" i="38"/>
  <c r="AP53" i="38" s="1"/>
  <c r="AO57" i="38"/>
  <c r="AP57" i="38" s="1"/>
  <c r="AO56" i="38"/>
  <c r="AP56" i="38" s="1"/>
  <c r="AO51" i="38"/>
  <c r="AP51" i="38" s="1"/>
  <c r="AO49" i="38"/>
  <c r="AP49" i="38" s="1"/>
  <c r="AO52" i="38"/>
  <c r="AP52" i="38" s="1"/>
  <c r="AO50" i="38"/>
  <c r="AP50" i="38" s="1"/>
  <c r="AO55" i="38"/>
  <c r="AP55" i="38" s="1"/>
  <c r="AO59" i="38"/>
  <c r="AP59" i="38" s="1"/>
  <c r="AO62" i="38"/>
  <c r="AP62" i="38" s="1"/>
  <c r="AO63" i="38"/>
  <c r="AP63" i="38" s="1"/>
  <c r="AO58" i="38"/>
  <c r="AP58" i="38" s="1"/>
  <c r="AO64" i="38"/>
  <c r="AP64" i="38" s="1"/>
  <c r="AO60" i="38"/>
  <c r="AP60" i="38" s="1"/>
  <c r="AO61" i="38"/>
  <c r="AP61" i="38" s="1"/>
  <c r="AO67" i="38"/>
  <c r="AP67" i="38" s="1"/>
  <c r="AO66" i="38"/>
  <c r="AP66" i="38" s="1"/>
  <c r="AO65" i="38"/>
  <c r="AP65" i="38" s="1"/>
  <c r="P14" i="41"/>
  <c r="P14" i="50"/>
  <c r="P14" i="47"/>
  <c r="P14" i="40"/>
  <c r="P14" i="48"/>
  <c r="P14" i="43"/>
  <c r="P14" i="44"/>
  <c r="P14" i="45"/>
  <c r="P14" i="39"/>
  <c r="DE214" i="38"/>
  <c r="P14" i="49"/>
  <c r="P14" i="46"/>
  <c r="P21" i="43"/>
  <c r="P21" i="41"/>
  <c r="P21" i="46"/>
  <c r="P21" i="49"/>
  <c r="P21" i="47"/>
  <c r="P21" i="40"/>
  <c r="P21" i="39"/>
  <c r="P21" i="48"/>
  <c r="DE221" i="38"/>
  <c r="P21" i="50"/>
  <c r="P21" i="45"/>
  <c r="P21" i="44"/>
  <c r="P16" i="48"/>
  <c r="DE216" i="38"/>
  <c r="P16" i="41"/>
  <c r="P16" i="43"/>
  <c r="P16" i="44"/>
  <c r="P16" i="45"/>
  <c r="P16" i="49"/>
  <c r="P16" i="40"/>
  <c r="P16" i="39"/>
  <c r="P16" i="47"/>
  <c r="P16" i="46"/>
  <c r="P16" i="50"/>
  <c r="DE212" i="38"/>
  <c r="P12" i="47"/>
  <c r="P12" i="45"/>
  <c r="P12" i="39"/>
  <c r="P12" i="49"/>
  <c r="P12" i="50"/>
  <c r="P12" i="40"/>
  <c r="P12" i="46"/>
  <c r="P12" i="43"/>
  <c r="P12" i="48"/>
  <c r="P12" i="41"/>
  <c r="P12" i="44"/>
  <c r="P27" i="49"/>
  <c r="P27" i="40"/>
  <c r="P27" i="41"/>
  <c r="DE227" i="38"/>
  <c r="P27" i="44"/>
  <c r="P27" i="50"/>
  <c r="P27" i="39"/>
  <c r="P27" i="48"/>
  <c r="P27" i="45"/>
  <c r="P27" i="46"/>
  <c r="P27" i="47"/>
  <c r="P27" i="43"/>
  <c r="P15" i="46"/>
  <c r="DE215" i="38"/>
  <c r="P15" i="48"/>
  <c r="P15" i="40"/>
  <c r="P15" i="43"/>
  <c r="P15" i="44"/>
  <c r="P15" i="50"/>
  <c r="P15" i="41"/>
  <c r="P15" i="47"/>
  <c r="P15" i="49"/>
  <c r="P15" i="39"/>
  <c r="P15" i="45"/>
  <c r="P22" i="39"/>
  <c r="P22" i="47"/>
  <c r="P22" i="43"/>
  <c r="P22" i="48"/>
  <c r="P22" i="49"/>
  <c r="P22" i="46"/>
  <c r="P22" i="45"/>
  <c r="P22" i="40"/>
  <c r="DE222" i="38"/>
  <c r="P22" i="44"/>
  <c r="P22" i="50"/>
  <c r="P22" i="41"/>
  <c r="P20" i="41"/>
  <c r="DE220" i="38"/>
  <c r="P20" i="40"/>
  <c r="P20" i="46"/>
  <c r="P20" i="49"/>
  <c r="P20" i="43"/>
  <c r="P20" i="39"/>
  <c r="P20" i="50"/>
  <c r="P20" i="45"/>
  <c r="P20" i="47"/>
  <c r="P20" i="48"/>
  <c r="P20" i="44"/>
  <c r="DE219" i="38"/>
  <c r="P19" i="45"/>
  <c r="P19" i="49"/>
  <c r="P19" i="41"/>
  <c r="P19" i="40"/>
  <c r="P19" i="44"/>
  <c r="P19" i="50"/>
  <c r="P19" i="46"/>
  <c r="P19" i="47"/>
  <c r="P19" i="48"/>
  <c r="P19" i="39"/>
  <c r="P19" i="43"/>
  <c r="P23" i="48"/>
  <c r="DE223" i="38"/>
  <c r="P23" i="45"/>
  <c r="P23" i="47"/>
  <c r="P23" i="41"/>
  <c r="P23" i="40"/>
  <c r="P23" i="46"/>
  <c r="P23" i="50"/>
  <c r="P23" i="39"/>
  <c r="P23" i="49"/>
  <c r="P23" i="44"/>
  <c r="P23" i="43"/>
  <c r="P18" i="45"/>
  <c r="P18" i="47"/>
  <c r="P18" i="43"/>
  <c r="P18" i="39"/>
  <c r="DE218" i="38"/>
  <c r="P18" i="50"/>
  <c r="P18" i="46"/>
  <c r="P18" i="48"/>
  <c r="P18" i="44"/>
  <c r="P18" i="40"/>
  <c r="P18" i="49"/>
  <c r="P18" i="41"/>
  <c r="P13" i="46"/>
  <c r="P13" i="40"/>
  <c r="P13" i="50"/>
  <c r="P13" i="41"/>
  <c r="P13" i="45"/>
  <c r="P13" i="44"/>
  <c r="P13" i="39"/>
  <c r="P13" i="47"/>
  <c r="P13" i="48"/>
  <c r="DE213" i="38"/>
  <c r="P13" i="43"/>
  <c r="P13" i="49"/>
  <c r="DE217" i="38"/>
  <c r="P17" i="41"/>
  <c r="P17" i="50"/>
  <c r="P17" i="45"/>
  <c r="P17" i="47"/>
  <c r="P17" i="40"/>
  <c r="P17" i="49"/>
  <c r="P17" i="39"/>
  <c r="P17" i="43"/>
  <c r="P17" i="46"/>
  <c r="P17" i="44"/>
  <c r="P17" i="48"/>
  <c r="DE224" i="38"/>
  <c r="P24" i="41"/>
  <c r="P24" i="46"/>
  <c r="P24" i="39"/>
  <c r="P24" i="40"/>
  <c r="P24" i="47"/>
  <c r="P24" i="43"/>
  <c r="P24" i="50"/>
  <c r="P24" i="45"/>
  <c r="P24" i="49"/>
  <c r="P24" i="48"/>
  <c r="P24" i="44"/>
  <c r="BK49" i="38"/>
  <c r="P11" i="38" s="1"/>
  <c r="BG25" i="38"/>
  <c r="BG27" i="38" s="1"/>
  <c r="BK70" i="38" s="1"/>
  <c r="DE225" i="38"/>
  <c r="P25" i="45"/>
  <c r="P25" i="48"/>
  <c r="P25" i="41"/>
  <c r="P25" i="40"/>
  <c r="P25" i="47"/>
  <c r="P25" i="50"/>
  <c r="P25" i="46"/>
  <c r="P25" i="44"/>
  <c r="P25" i="49"/>
  <c r="P25" i="43"/>
  <c r="P25" i="39"/>
  <c r="AC46" i="38"/>
  <c r="AE45" i="38"/>
  <c r="DA218" i="44"/>
  <c r="A18" i="44"/>
  <c r="BI12" i="44"/>
  <c r="BN15" i="44"/>
  <c r="A64" i="45"/>
  <c r="DA213" i="44"/>
  <c r="BN10" i="44"/>
  <c r="A59" i="45"/>
  <c r="A13" i="44"/>
  <c r="BI7" i="44"/>
  <c r="DA222" i="44"/>
  <c r="BI16" i="44"/>
  <c r="A22" i="44"/>
  <c r="BN19" i="44"/>
  <c r="A68" i="45"/>
  <c r="DA225" i="44"/>
  <c r="BN22" i="44"/>
  <c r="BI19" i="44"/>
  <c r="A71" i="45"/>
  <c r="A25" i="44"/>
  <c r="DA226" i="44"/>
  <c r="BI20" i="44"/>
  <c r="A26" i="44"/>
  <c r="BN23" i="44"/>
  <c r="A72" i="45"/>
  <c r="DA212" i="44"/>
  <c r="A58" i="45"/>
  <c r="BN9" i="44"/>
  <c r="A12" i="44"/>
  <c r="BI6" i="44"/>
  <c r="DA221" i="44"/>
  <c r="BN18" i="44"/>
  <c r="A67" i="45"/>
  <c r="BI15" i="44"/>
  <c r="A21" i="44"/>
  <c r="DA227" i="44"/>
  <c r="BN24" i="44"/>
  <c r="BI21" i="44"/>
  <c r="A73" i="45"/>
  <c r="A27" i="44"/>
  <c r="DA219" i="44"/>
  <c r="A19" i="44"/>
  <c r="BN16" i="44"/>
  <c r="BI13" i="44"/>
  <c r="A65" i="45"/>
  <c r="DA220" i="44"/>
  <c r="BI14" i="44"/>
  <c r="BN17" i="44"/>
  <c r="A66" i="45"/>
  <c r="A20" i="44"/>
  <c r="DA216" i="44"/>
  <c r="BN13" i="44"/>
  <c r="A62" i="45"/>
  <c r="A16" i="44"/>
  <c r="BI10" i="44"/>
  <c r="DA223" i="44"/>
  <c r="BI17" i="44"/>
  <c r="BN20" i="44"/>
  <c r="A23" i="44"/>
  <c r="A69" i="45"/>
  <c r="DA224" i="44"/>
  <c r="A24" i="44"/>
  <c r="BI18" i="44"/>
  <c r="A70" i="45"/>
  <c r="BN21" i="44"/>
  <c r="AC53" i="37"/>
  <c r="AE52" i="37"/>
  <c r="AQ24" i="37"/>
  <c r="AQ86" i="37" s="1"/>
  <c r="AR24" i="37"/>
  <c r="AR86" i="37" s="1"/>
  <c r="AO24" i="37"/>
  <c r="AM25" i="37"/>
  <c r="AW31" i="37" s="1"/>
  <c r="AT31" i="37" s="1"/>
  <c r="AN25" i="37"/>
  <c r="AC61" i="36"/>
  <c r="AE60" i="36"/>
  <c r="DA224" i="45" l="1"/>
  <c r="BN21" i="45"/>
  <c r="A70" i="46"/>
  <c r="A24" i="45"/>
  <c r="BI18" i="45"/>
  <c r="DA223" i="45"/>
  <c r="A69" i="46"/>
  <c r="BI17" i="45"/>
  <c r="BN20" i="45"/>
  <c r="A23" i="45"/>
  <c r="DA216" i="45"/>
  <c r="A16" i="45"/>
  <c r="BI10" i="45"/>
  <c r="BN13" i="45"/>
  <c r="A62" i="46"/>
  <c r="DA220" i="45"/>
  <c r="BN17" i="45"/>
  <c r="A66" i="46"/>
  <c r="A20" i="45"/>
  <c r="BI14" i="45"/>
  <c r="DA219" i="45"/>
  <c r="BN16" i="45"/>
  <c r="A19" i="45"/>
  <c r="A65" i="46"/>
  <c r="BI13" i="45"/>
  <c r="DA227" i="45"/>
  <c r="BI21" i="45"/>
  <c r="BN24" i="45"/>
  <c r="A27" i="45"/>
  <c r="A73" i="46"/>
  <c r="DA221" i="45"/>
  <c r="BN18" i="45"/>
  <c r="BI15" i="45"/>
  <c r="A67" i="46"/>
  <c r="A21" i="45"/>
  <c r="DA212" i="45"/>
  <c r="A12" i="45"/>
  <c r="BI6" i="45"/>
  <c r="BN9" i="45"/>
  <c r="A58" i="46"/>
  <c r="DA226" i="45"/>
  <c r="BN23" i="45"/>
  <c r="A26" i="45"/>
  <c r="BI20" i="45"/>
  <c r="A72" i="46"/>
  <c r="DA225" i="45"/>
  <c r="BN22" i="45"/>
  <c r="A25" i="45"/>
  <c r="A71" i="46"/>
  <c r="BI19" i="45"/>
  <c r="DA222" i="45"/>
  <c r="BI16" i="45"/>
  <c r="A22" i="45"/>
  <c r="A68" i="46"/>
  <c r="BN19" i="45"/>
  <c r="DA213" i="45"/>
  <c r="A13" i="45"/>
  <c r="BN10" i="45"/>
  <c r="BI7" i="45"/>
  <c r="A59" i="46"/>
  <c r="DA218" i="45"/>
  <c r="A18" i="45"/>
  <c r="BI12" i="45"/>
  <c r="A64" i="46"/>
  <c r="BN15" i="45"/>
  <c r="AC47" i="38"/>
  <c r="AE46" i="38"/>
  <c r="P11" i="41"/>
  <c r="DE211" i="38"/>
  <c r="P11" i="44"/>
  <c r="P11" i="46"/>
  <c r="P11" i="40"/>
  <c r="P11" i="43"/>
  <c r="P11" i="47"/>
  <c r="P11" i="50"/>
  <c r="P11" i="49"/>
  <c r="P11" i="45"/>
  <c r="P11" i="48"/>
  <c r="P11" i="39"/>
  <c r="AP47" i="38"/>
  <c r="AQ51" i="38"/>
  <c r="AR51" i="38" s="1"/>
  <c r="AQ56" i="38"/>
  <c r="AR56" i="38" s="1"/>
  <c r="AQ57" i="38"/>
  <c r="AR57" i="38" s="1"/>
  <c r="AQ53" i="38"/>
  <c r="AR53" i="38" s="1"/>
  <c r="AQ54" i="38"/>
  <c r="AR54" i="38" s="1"/>
  <c r="AM21" i="38"/>
  <c r="AN21" i="38"/>
  <c r="AO20" i="38"/>
  <c r="AO25" i="37"/>
  <c r="AQ25" i="37"/>
  <c r="AQ87" i="37" s="1"/>
  <c r="AR25" i="37"/>
  <c r="AR87" i="37" s="1"/>
  <c r="AW32" i="37"/>
  <c r="AT32" i="37" s="1"/>
  <c r="AU31" i="37"/>
  <c r="AV31" i="37" s="1"/>
  <c r="AO86" i="37"/>
  <c r="AT86" i="37" s="1"/>
  <c r="AC54" i="37"/>
  <c r="AE53" i="37"/>
  <c r="AE61" i="36"/>
  <c r="AC62" i="36"/>
  <c r="AO82" i="38" l="1"/>
  <c r="AU27" i="38"/>
  <c r="AV27" i="38" s="1"/>
  <c r="AQ21" i="38"/>
  <c r="AQ83" i="38" s="1"/>
  <c r="AQ6" i="38"/>
  <c r="AR20" i="38"/>
  <c r="AR82" i="38" s="1"/>
  <c r="AW27" i="38"/>
  <c r="AT27" i="38" s="1"/>
  <c r="AP46" i="38"/>
  <c r="AL22" i="38" s="1"/>
  <c r="AO21" i="38" s="1"/>
  <c r="AQ48" i="38"/>
  <c r="AR48" i="38" s="1"/>
  <c r="AQ65" i="38"/>
  <c r="AR65" i="38" s="1"/>
  <c r="AQ66" i="38"/>
  <c r="AR66" i="38" s="1"/>
  <c r="AQ67" i="38"/>
  <c r="AR67" i="38" s="1"/>
  <c r="AQ61" i="38"/>
  <c r="AR61" i="38" s="1"/>
  <c r="AQ60" i="38"/>
  <c r="AR60" i="38" s="1"/>
  <c r="AQ64" i="38"/>
  <c r="AR64" i="38" s="1"/>
  <c r="AQ58" i="38"/>
  <c r="AR58" i="38" s="1"/>
  <c r="AQ63" i="38"/>
  <c r="AR63" i="38" s="1"/>
  <c r="AQ62" i="38"/>
  <c r="AR62" i="38" s="1"/>
  <c r="AQ59" i="38"/>
  <c r="AR59" i="38" s="1"/>
  <c r="AQ55" i="38"/>
  <c r="AR55" i="38" s="1"/>
  <c r="AQ50" i="38"/>
  <c r="AR50" i="38" s="1"/>
  <c r="AQ52" i="38"/>
  <c r="AR52" i="38" s="1"/>
  <c r="AQ49" i="38"/>
  <c r="AR49" i="38" s="1"/>
  <c r="AE47" i="38"/>
  <c r="AC48" i="38"/>
  <c r="DA218" i="46"/>
  <c r="A18" i="46"/>
  <c r="A64" i="47"/>
  <c r="BN15" i="46"/>
  <c r="BI12" i="46"/>
  <c r="DA213" i="46"/>
  <c r="BN10" i="46"/>
  <c r="A13" i="46"/>
  <c r="A59" i="47"/>
  <c r="BI7" i="46"/>
  <c r="DA222" i="46"/>
  <c r="A68" i="47"/>
  <c r="BN19" i="46"/>
  <c r="A22" i="46"/>
  <c r="BI16" i="46"/>
  <c r="DA225" i="46"/>
  <c r="BN22" i="46"/>
  <c r="A25" i="46"/>
  <c r="A71" i="47"/>
  <c r="BI19" i="46"/>
  <c r="DA226" i="46"/>
  <c r="BI20" i="46"/>
  <c r="BN23" i="46"/>
  <c r="A26" i="46"/>
  <c r="A72" i="47"/>
  <c r="DA212" i="46"/>
  <c r="BN9" i="46"/>
  <c r="A12" i="46"/>
  <c r="BI6" i="46"/>
  <c r="A58" i="47"/>
  <c r="DA221" i="46"/>
  <c r="BN18" i="46"/>
  <c r="A21" i="46"/>
  <c r="A67" i="47"/>
  <c r="BI15" i="46"/>
  <c r="DA227" i="46"/>
  <c r="BI21" i="46"/>
  <c r="BN24" i="46"/>
  <c r="A73" i="47"/>
  <c r="A27" i="46"/>
  <c r="DA219" i="46"/>
  <c r="A65" i="47"/>
  <c r="A19" i="46"/>
  <c r="BI13" i="46"/>
  <c r="BN16" i="46"/>
  <c r="DA220" i="46"/>
  <c r="A66" i="47"/>
  <c r="A20" i="46"/>
  <c r="BI14" i="46"/>
  <c r="BN17" i="46"/>
  <c r="DA216" i="46"/>
  <c r="BN13" i="46"/>
  <c r="A62" i="47"/>
  <c r="A16" i="46"/>
  <c r="BI10" i="46"/>
  <c r="DA223" i="46"/>
  <c r="A23" i="46"/>
  <c r="A69" i="47"/>
  <c r="BI17" i="46"/>
  <c r="BN20" i="46"/>
  <c r="DA224" i="46"/>
  <c r="BI18" i="46"/>
  <c r="BN21" i="46"/>
  <c r="A70" i="47"/>
  <c r="A24" i="46"/>
  <c r="AE54" i="37"/>
  <c r="AC55" i="37"/>
  <c r="AO87" i="37"/>
  <c r="AT87" i="37" s="1"/>
  <c r="AT89" i="37" s="1"/>
  <c r="AQ9" i="37" s="1"/>
  <c r="AU32" i="37"/>
  <c r="AV32" i="37" s="1"/>
  <c r="AV26" i="37" s="1"/>
  <c r="AE62" i="36"/>
  <c r="AC63" i="36"/>
  <c r="AE63" i="36" s="1"/>
  <c r="DA224" i="47" l="1"/>
  <c r="BI18" i="47"/>
  <c r="BN21" i="47"/>
  <c r="A70" i="48"/>
  <c r="A24" i="47"/>
  <c r="DA223" i="47"/>
  <c r="BI17" i="47"/>
  <c r="A69" i="48"/>
  <c r="BN20" i="47"/>
  <c r="A23" i="47"/>
  <c r="DA216" i="47"/>
  <c r="BN13" i="47"/>
  <c r="A62" i="48"/>
  <c r="A16" i="47"/>
  <c r="BI10" i="47"/>
  <c r="DA220" i="47"/>
  <c r="BI14" i="47"/>
  <c r="BN17" i="47"/>
  <c r="A66" i="48"/>
  <c r="A20" i="47"/>
  <c r="DA219" i="47"/>
  <c r="BI13" i="47"/>
  <c r="BN16" i="47"/>
  <c r="A65" i="48"/>
  <c r="A19" i="47"/>
  <c r="DA227" i="47"/>
  <c r="A27" i="47"/>
  <c r="BI21" i="47"/>
  <c r="BN24" i="47"/>
  <c r="A73" i="48"/>
  <c r="DA221" i="47"/>
  <c r="BI15" i="47"/>
  <c r="A21" i="47"/>
  <c r="A67" i="48"/>
  <c r="BN18" i="47"/>
  <c r="DA212" i="47"/>
  <c r="A58" i="48"/>
  <c r="A12" i="47"/>
  <c r="BI6" i="47"/>
  <c r="BN9" i="47"/>
  <c r="DA226" i="47"/>
  <c r="BN23" i="47"/>
  <c r="A26" i="47"/>
  <c r="BI20" i="47"/>
  <c r="A72" i="48"/>
  <c r="DA225" i="47"/>
  <c r="BI19" i="47"/>
  <c r="BN22" i="47"/>
  <c r="A25" i="47"/>
  <c r="A71" i="48"/>
  <c r="DA222" i="47"/>
  <c r="A22" i="47"/>
  <c r="BI16" i="47"/>
  <c r="BN19" i="47"/>
  <c r="A68" i="48"/>
  <c r="DA213" i="47"/>
  <c r="A59" i="48"/>
  <c r="BN10" i="47"/>
  <c r="BI7" i="47"/>
  <c r="A13" i="47"/>
  <c r="DA218" i="47"/>
  <c r="A64" i="48"/>
  <c r="BI12" i="47"/>
  <c r="A18" i="47"/>
  <c r="BN15" i="47"/>
  <c r="AC49" i="38"/>
  <c r="AE48" i="38"/>
  <c r="AR47" i="38"/>
  <c r="AT48" i="38"/>
  <c r="AU48" i="38" s="1"/>
  <c r="AN22" i="38"/>
  <c r="AM22" i="38"/>
  <c r="AO83" i="38"/>
  <c r="AU28" i="38"/>
  <c r="AV28" i="38" s="1"/>
  <c r="AT82" i="38"/>
  <c r="AE55" i="37"/>
  <c r="AC56" i="37"/>
  <c r="AW28" i="38" l="1"/>
  <c r="AT28" i="38" s="1"/>
  <c r="AR21" i="38"/>
  <c r="AR83" i="38" s="1"/>
  <c r="AT83" i="38" s="1"/>
  <c r="AO22" i="38"/>
  <c r="AQ22" i="38"/>
  <c r="AQ84" i="38" s="1"/>
  <c r="AR22" i="38"/>
  <c r="AR84" i="38" s="1"/>
  <c r="AT53" i="38"/>
  <c r="AU53" i="38" s="1"/>
  <c r="AR46" i="38"/>
  <c r="AL23" i="38" s="1"/>
  <c r="AT54" i="38"/>
  <c r="AU54" i="38" s="1"/>
  <c r="AT57" i="38"/>
  <c r="AU57" i="38" s="1"/>
  <c r="AT56" i="38"/>
  <c r="AU56" i="38" s="1"/>
  <c r="AT51" i="38"/>
  <c r="AU51" i="38" s="1"/>
  <c r="AT49" i="38"/>
  <c r="AU49" i="38" s="1"/>
  <c r="AT52" i="38"/>
  <c r="AU52" i="38" s="1"/>
  <c r="AT50" i="38"/>
  <c r="AU50" i="38" s="1"/>
  <c r="AT55" i="38"/>
  <c r="AU55" i="38" s="1"/>
  <c r="AT59" i="38"/>
  <c r="AU59" i="38" s="1"/>
  <c r="AT62" i="38"/>
  <c r="AU62" i="38" s="1"/>
  <c r="AT63" i="38"/>
  <c r="AU63" i="38" s="1"/>
  <c r="AT58" i="38"/>
  <c r="AU58" i="38" s="1"/>
  <c r="AT64" i="38"/>
  <c r="AU64" i="38" s="1"/>
  <c r="AT60" i="38"/>
  <c r="AU60" i="38" s="1"/>
  <c r="AT61" i="38"/>
  <c r="AU61" i="38" s="1"/>
  <c r="AT67" i="38"/>
  <c r="AU67" i="38" s="1"/>
  <c r="AT66" i="38"/>
  <c r="AU66" i="38" s="1"/>
  <c r="AT65" i="38"/>
  <c r="AU65" i="38" s="1"/>
  <c r="AE49" i="38"/>
  <c r="AC50" i="38"/>
  <c r="DA218" i="48"/>
  <c r="BN15" i="48"/>
  <c r="A18" i="48"/>
  <c r="BI12" i="48"/>
  <c r="A64" i="49"/>
  <c r="DA213" i="48"/>
  <c r="BN10" i="48"/>
  <c r="A59" i="49"/>
  <c r="BI7" i="48"/>
  <c r="A13" i="48"/>
  <c r="DA222" i="48"/>
  <c r="A22" i="48"/>
  <c r="A68" i="49"/>
  <c r="BN19" i="48"/>
  <c r="BI16" i="48"/>
  <c r="DA225" i="48"/>
  <c r="BN22" i="48"/>
  <c r="A71" i="49"/>
  <c r="A25" i="48"/>
  <c r="BI19" i="48"/>
  <c r="DA226" i="48"/>
  <c r="BI20" i="48"/>
  <c r="A26" i="48"/>
  <c r="A72" i="49"/>
  <c r="BN23" i="48"/>
  <c r="DA212" i="48"/>
  <c r="BI6" i="48"/>
  <c r="A12" i="48"/>
  <c r="BN9" i="48"/>
  <c r="A58" i="49"/>
  <c r="DA221" i="48"/>
  <c r="A21" i="48"/>
  <c r="BI15" i="48"/>
  <c r="A67" i="49"/>
  <c r="BN18" i="48"/>
  <c r="DA227" i="48"/>
  <c r="A27" i="48"/>
  <c r="BI21" i="48"/>
  <c r="A73" i="49"/>
  <c r="BN24" i="48"/>
  <c r="DA219" i="48"/>
  <c r="A19" i="48"/>
  <c r="BI13" i="48"/>
  <c r="BN16" i="48"/>
  <c r="A65" i="49"/>
  <c r="DA220" i="48"/>
  <c r="BN17" i="48"/>
  <c r="A20" i="48"/>
  <c r="BI14" i="48"/>
  <c r="A66" i="49"/>
  <c r="DA216" i="48"/>
  <c r="A16" i="48"/>
  <c r="BI10" i="48"/>
  <c r="A62" i="49"/>
  <c r="BN13" i="48"/>
  <c r="DA223" i="48"/>
  <c r="A23" i="48"/>
  <c r="A69" i="49"/>
  <c r="BI17" i="48"/>
  <c r="BN20" i="48"/>
  <c r="DA224" i="48"/>
  <c r="A70" i="49"/>
  <c r="BN21" i="48"/>
  <c r="A24" i="48"/>
  <c r="BI18" i="48"/>
  <c r="AE56" i="37"/>
  <c r="AC57" i="37"/>
  <c r="DA224" i="49" l="1"/>
  <c r="A70" i="50"/>
  <c r="BI18" i="49"/>
  <c r="BN21" i="49"/>
  <c r="A24" i="49"/>
  <c r="DA223" i="49"/>
  <c r="BI17" i="49"/>
  <c r="A23" i="49"/>
  <c r="BN20" i="49"/>
  <c r="A69" i="50"/>
  <c r="DA216" i="49"/>
  <c r="BI10" i="49"/>
  <c r="BN13" i="49"/>
  <c r="A62" i="50"/>
  <c r="A16" i="49"/>
  <c r="DA220" i="49"/>
  <c r="A20" i="49"/>
  <c r="BN17" i="49"/>
  <c r="A66" i="50"/>
  <c r="BI14" i="49"/>
  <c r="DA219" i="49"/>
  <c r="A65" i="50"/>
  <c r="BI13" i="49"/>
  <c r="A19" i="49"/>
  <c r="BN16" i="49"/>
  <c r="DA227" i="49"/>
  <c r="BN24" i="49"/>
  <c r="A27" i="49"/>
  <c r="A73" i="50"/>
  <c r="BI21" i="49"/>
  <c r="DA221" i="49"/>
  <c r="BN18" i="49"/>
  <c r="A21" i="49"/>
  <c r="BI15" i="49"/>
  <c r="A67" i="50"/>
  <c r="DA212" i="49"/>
  <c r="A58" i="50"/>
  <c r="A12" i="49"/>
  <c r="BI6" i="49"/>
  <c r="BN9" i="49"/>
  <c r="DA226" i="49"/>
  <c r="BI20" i="49"/>
  <c r="A26" i="49"/>
  <c r="A72" i="50"/>
  <c r="BN23" i="49"/>
  <c r="DA225" i="49"/>
  <c r="BI19" i="49"/>
  <c r="A25" i="49"/>
  <c r="A71" i="50"/>
  <c r="BN22" i="49"/>
  <c r="DA222" i="49"/>
  <c r="A68" i="50"/>
  <c r="BN19" i="49"/>
  <c r="A22" i="49"/>
  <c r="BI16" i="49"/>
  <c r="DA213" i="49"/>
  <c r="A59" i="50"/>
  <c r="BN10" i="49"/>
  <c r="A13" i="49"/>
  <c r="BI7" i="49"/>
  <c r="DA218" i="49"/>
  <c r="BN15" i="49"/>
  <c r="BI12" i="49"/>
  <c r="A64" i="50"/>
  <c r="A18" i="49"/>
  <c r="AC51" i="38"/>
  <c r="AE50" i="38"/>
  <c r="AU47" i="38"/>
  <c r="AV51" i="38"/>
  <c r="AW51" i="38" s="1"/>
  <c r="AV56" i="38"/>
  <c r="AW56" i="38" s="1"/>
  <c r="AV57" i="38"/>
  <c r="AW57" i="38" s="1"/>
  <c r="AV54" i="38"/>
  <c r="AW54" i="38" s="1"/>
  <c r="AN23" i="38"/>
  <c r="AM23" i="38"/>
  <c r="AW29" i="38" s="1"/>
  <c r="AT29" i="38" s="1"/>
  <c r="AO84" i="38"/>
  <c r="AT84" i="38" s="1"/>
  <c r="AU29" i="38"/>
  <c r="AV29" i="38" s="1"/>
  <c r="AC58" i="37"/>
  <c r="AE57" i="37"/>
  <c r="AR23" i="38" l="1"/>
  <c r="AR85" i="38" s="1"/>
  <c r="AQ23" i="38"/>
  <c r="AQ85" i="38" s="1"/>
  <c r="AO23" i="38"/>
  <c r="AV53" i="38"/>
  <c r="AW53" i="38" s="1"/>
  <c r="AU46" i="38"/>
  <c r="AL24" i="38" s="1"/>
  <c r="AV48" i="38"/>
  <c r="AW48" i="38" s="1"/>
  <c r="AV65" i="38"/>
  <c r="AW65" i="38" s="1"/>
  <c r="AV66" i="38"/>
  <c r="AW66" i="38" s="1"/>
  <c r="AV67" i="38"/>
  <c r="AW67" i="38" s="1"/>
  <c r="AV61" i="38"/>
  <c r="AW61" i="38" s="1"/>
  <c r="AV60" i="38"/>
  <c r="AW60" i="38" s="1"/>
  <c r="AV64" i="38"/>
  <c r="AW64" i="38" s="1"/>
  <c r="AV58" i="38"/>
  <c r="AW58" i="38" s="1"/>
  <c r="AV63" i="38"/>
  <c r="AW63" i="38" s="1"/>
  <c r="AV62" i="38"/>
  <c r="AW62" i="38" s="1"/>
  <c r="AV59" i="38"/>
  <c r="AW59" i="38" s="1"/>
  <c r="AV55" i="38"/>
  <c r="AW55" i="38" s="1"/>
  <c r="AV50" i="38"/>
  <c r="AW50" i="38" s="1"/>
  <c r="AV52" i="38"/>
  <c r="AW52" i="38" s="1"/>
  <c r="AV49" i="38"/>
  <c r="AW49" i="38" s="1"/>
  <c r="AC52" i="38"/>
  <c r="AE51" i="38"/>
  <c r="DA218" i="50"/>
  <c r="BI12" i="50"/>
  <c r="BN15" i="50"/>
  <c r="A18" i="50"/>
  <c r="DA213" i="50"/>
  <c r="BI7" i="50"/>
  <c r="BN10" i="50"/>
  <c r="A13" i="50"/>
  <c r="DA222" i="50"/>
  <c r="A22" i="50"/>
  <c r="BI16" i="50"/>
  <c r="BN19" i="50"/>
  <c r="DA225" i="50"/>
  <c r="A25" i="50"/>
  <c r="BI19" i="50"/>
  <c r="BN22" i="50"/>
  <c r="DA226" i="50"/>
  <c r="BI20" i="50"/>
  <c r="BN23" i="50"/>
  <c r="A26" i="50"/>
  <c r="DA212" i="50"/>
  <c r="BI6" i="50"/>
  <c r="BN9" i="50"/>
  <c r="A12" i="50"/>
  <c r="DA221" i="50"/>
  <c r="A21" i="50"/>
  <c r="BI15" i="50"/>
  <c r="BN18" i="50"/>
  <c r="DA227" i="50"/>
  <c r="A27" i="50"/>
  <c r="BI21" i="50"/>
  <c r="BN24" i="50"/>
  <c r="DA219" i="50"/>
  <c r="BN16" i="50"/>
  <c r="A19" i="50"/>
  <c r="BI13" i="50"/>
  <c r="DA220" i="50"/>
  <c r="BI14" i="50"/>
  <c r="A20" i="50"/>
  <c r="BN17" i="50"/>
  <c r="DA216" i="50"/>
  <c r="A16" i="50"/>
  <c r="BN13" i="50"/>
  <c r="BI10" i="50"/>
  <c r="DA223" i="50"/>
  <c r="BN20" i="50"/>
  <c r="A23" i="50"/>
  <c r="BI17" i="50"/>
  <c r="DA224" i="50"/>
  <c r="BI18" i="50"/>
  <c r="A24" i="50"/>
  <c r="BN21" i="50"/>
  <c r="AE58" i="37"/>
  <c r="AC59" i="37"/>
  <c r="AC53" i="38" l="1"/>
  <c r="AE52" i="38"/>
  <c r="AW47" i="38"/>
  <c r="AW46" i="38" s="1"/>
  <c r="AL25" i="38" s="1"/>
  <c r="AN24" i="38"/>
  <c r="AM24" i="38"/>
  <c r="AW30" i="38" s="1"/>
  <c r="AT30" i="38" s="1"/>
  <c r="AU30" i="38"/>
  <c r="AV30" i="38" s="1"/>
  <c r="AO85" i="38"/>
  <c r="AT85" i="38" s="1"/>
  <c r="AC60" i="37"/>
  <c r="AE59" i="37"/>
  <c r="AO24" i="38" l="1"/>
  <c r="AQ24" i="38"/>
  <c r="AQ86" i="38" s="1"/>
  <c r="AR24" i="38"/>
  <c r="AR86" i="38" s="1"/>
  <c r="AN25" i="38"/>
  <c r="AM25" i="38"/>
  <c r="AW31" i="38" s="1"/>
  <c r="AT31" i="38" s="1"/>
  <c r="AE53" i="38"/>
  <c r="AC54" i="38"/>
  <c r="AE60" i="37"/>
  <c r="AC61" i="37"/>
  <c r="AC55" i="38" l="1"/>
  <c r="AE54" i="38"/>
  <c r="AW32" i="38"/>
  <c r="AT32" i="38" s="1"/>
  <c r="AO25" i="38"/>
  <c r="AR25" i="38"/>
  <c r="AR87" i="38" s="1"/>
  <c r="AQ25" i="38"/>
  <c r="AQ87" i="38" s="1"/>
  <c r="AU31" i="38"/>
  <c r="AV31" i="38" s="1"/>
  <c r="AO86" i="38"/>
  <c r="AT86" i="38" s="1"/>
  <c r="AC62" i="37"/>
  <c r="AE61" i="37"/>
  <c r="AU32" i="38" l="1"/>
  <c r="AV32" i="38" s="1"/>
  <c r="AV26" i="38" s="1"/>
  <c r="AO87" i="38"/>
  <c r="AT87" i="38" s="1"/>
  <c r="AT89" i="38" s="1"/>
  <c r="AQ9" i="38" s="1"/>
  <c r="AC56" i="38"/>
  <c r="AE55" i="38"/>
  <c r="AE62" i="37"/>
  <c r="AC63" i="37"/>
  <c r="AE63" i="37" s="1"/>
  <c r="AC57" i="38" l="1"/>
  <c r="AE56" i="38"/>
  <c r="AE57" i="38" l="1"/>
  <c r="AC58" i="38"/>
  <c r="AC59" i="38" l="1"/>
  <c r="AE58" i="38"/>
  <c r="AC60" i="38" l="1"/>
  <c r="AE59" i="38"/>
  <c r="AC61" i="38" l="1"/>
  <c r="AE60" i="38"/>
  <c r="AE61" i="38" l="1"/>
  <c r="AC62" i="38"/>
  <c r="AC63" i="38" l="1"/>
  <c r="AE63" i="38" s="1"/>
  <c r="AE62" i="38"/>
</calcChain>
</file>

<file path=xl/comments1.xml><?xml version="1.0" encoding="utf-8"?>
<comments xmlns="http://schemas.openxmlformats.org/spreadsheetml/2006/main">
  <authors>
    <author>Madine, Daryll</author>
  </authors>
  <commentList>
    <comment ref="B10" authorId="0" shapeId="0">
      <text>
        <r>
          <rPr>
            <b/>
            <sz val="9"/>
            <color indexed="81"/>
            <rFont val="Tahoma"/>
            <family val="2"/>
          </rPr>
          <t>Madine, Daryll:</t>
        </r>
        <r>
          <rPr>
            <sz val="9"/>
            <color indexed="81"/>
            <rFont val="Tahoma"/>
            <family val="2"/>
          </rPr>
          <t xml:space="preserve">
This is the order that candidates have been elected. This should copy from sheet to sheet and simply add additonal values as and when required</t>
        </r>
      </text>
    </comment>
  </commentList>
</comments>
</file>

<file path=xl/sharedStrings.xml><?xml version="1.0" encoding="utf-8"?>
<sst xmlns="http://schemas.openxmlformats.org/spreadsheetml/2006/main" count="3931" uniqueCount="362">
  <si>
    <t>Basic Rules &amp; Instructions</t>
  </si>
  <si>
    <t>Steps</t>
  </si>
  <si>
    <t>The following spreadsheets have been developed in line with guidelines issued by the Electoral Office for Northern Ireland</t>
  </si>
  <si>
    <t>1.  Enter Basic Election Data (Date, Names etc…)</t>
  </si>
  <si>
    <r>
      <t xml:space="preserve">2.  Verify numbers enter time - use </t>
    </r>
    <r>
      <rPr>
        <b/>
        <sz val="12"/>
        <rFont val="Arial"/>
        <family val="2"/>
      </rPr>
      <t>24 hour clock in hh:mm format</t>
    </r>
  </si>
  <si>
    <r>
      <t xml:space="preserve">Basic information is input on </t>
    </r>
    <r>
      <rPr>
        <b/>
        <sz val="12"/>
        <rFont val="Arial"/>
        <family val="2"/>
      </rPr>
      <t>Basic Input</t>
    </r>
    <r>
      <rPr>
        <sz val="12"/>
        <rFont val="Arial"/>
        <family val="2"/>
      </rPr>
      <t xml:space="preserve"> and all other sheets in areas shaded yellow only</t>
    </r>
  </si>
  <si>
    <t>3.  Enter 1st preference votes enter time</t>
  </si>
  <si>
    <r>
      <t>Complete "</t>
    </r>
    <r>
      <rPr>
        <b/>
        <sz val="12"/>
        <rFont val="Arial"/>
        <family val="2"/>
      </rPr>
      <t xml:space="preserve">Verification of Boxes" </t>
    </r>
    <r>
      <rPr>
        <sz val="12"/>
        <rFont val="Arial"/>
        <family val="2"/>
      </rPr>
      <t>sheet by entering the total number of WHITE ballot papers from the verification workbook (BBR)</t>
    </r>
  </si>
  <si>
    <t>4.  Move to next stage</t>
  </si>
  <si>
    <r>
      <t xml:space="preserve">Stage 1 - enter first preference counted votes in </t>
    </r>
    <r>
      <rPr>
        <b/>
        <sz val="12"/>
        <rFont val="Arial"/>
        <family val="2"/>
      </rPr>
      <t>Verification of Boxes</t>
    </r>
    <r>
      <rPr>
        <sz val="12"/>
        <rFont val="Arial"/>
        <family val="2"/>
      </rPr>
      <t xml:space="preserve"> sheet and input the number of invalid votes</t>
    </r>
  </si>
  <si>
    <t>5.  Decision Transfer or Exclude Y or N</t>
  </si>
  <si>
    <r>
      <t>At each subsequent stage complete the question box "</t>
    </r>
    <r>
      <rPr>
        <sz val="12"/>
        <color indexed="10"/>
        <rFont val="Arial"/>
        <family val="2"/>
      </rPr>
      <t>TRANSFER SURPLUS y or n</t>
    </r>
    <r>
      <rPr>
        <sz val="12"/>
        <rFont val="Arial"/>
        <family val="2"/>
      </rPr>
      <t>" depending on the information presented</t>
    </r>
  </si>
  <si>
    <t>6.  Move to input form as indicated - count papers</t>
  </si>
  <si>
    <r>
      <t xml:space="preserve">Input information from the counting of votes in the appropriate </t>
    </r>
    <r>
      <rPr>
        <b/>
        <sz val="12"/>
        <rFont val="Arial"/>
        <family val="2"/>
      </rPr>
      <t>EXCLUDE CANDIDATES</t>
    </r>
    <r>
      <rPr>
        <sz val="12"/>
        <rFont val="Arial"/>
        <family val="2"/>
      </rPr>
      <t xml:space="preserve"> or </t>
    </r>
    <r>
      <rPr>
        <b/>
        <sz val="12"/>
        <rFont val="Arial"/>
        <family val="2"/>
      </rPr>
      <t>TRANSFER OF SURPLUS VOTES</t>
    </r>
    <r>
      <rPr>
        <sz val="12"/>
        <rFont val="Arial"/>
        <family val="2"/>
      </rPr>
      <t xml:space="preserve"> Form</t>
    </r>
  </si>
  <si>
    <t>7.  Enter Y against names to be excluded or where surplus are being transferred</t>
  </si>
  <si>
    <r>
      <t xml:space="preserve">Enter names on Forms as entered on </t>
    </r>
    <r>
      <rPr>
        <b/>
        <sz val="12"/>
        <rFont val="Arial"/>
        <family val="2"/>
      </rPr>
      <t>Basic Input</t>
    </r>
    <r>
      <rPr>
        <sz val="12"/>
        <rFont val="Arial"/>
        <family val="2"/>
      </rPr>
      <t xml:space="preserve"> sheet (copy and paste if required)</t>
    </r>
  </si>
  <si>
    <t>8.  If exclusion enter name(s) as appropriate</t>
  </si>
  <si>
    <t>Review Overview Sheet for stage and advise of declaration of stage, Elected Candidates, move to next stage etc.</t>
  </si>
  <si>
    <t>9.  Check calculations correct</t>
  </si>
  <si>
    <r>
      <t xml:space="preserve">Timings to be entered where prompted </t>
    </r>
    <r>
      <rPr>
        <b/>
        <sz val="12"/>
        <rFont val="Arial"/>
        <family val="2"/>
      </rPr>
      <t xml:space="preserve">(24h - hh:mm) </t>
    </r>
    <r>
      <rPr>
        <sz val="12"/>
        <rFont val="Arial"/>
        <family val="2"/>
      </rPr>
      <t>on the completion of each stage - Verification &amp; row 34 (Stages 2 onwards)</t>
    </r>
  </si>
  <si>
    <t>10.  Offer acceptance for completion of stage</t>
  </si>
  <si>
    <t>Please check you are completing forms in the correct stage (noted on each form and on the active worksheet tab at the bottom)</t>
  </si>
  <si>
    <r>
      <t xml:space="preserve">11.  Enter time for completion of stage use </t>
    </r>
    <r>
      <rPr>
        <b/>
        <sz val="12"/>
        <rFont val="Arial"/>
        <family val="2"/>
      </rPr>
      <t>24 hour clock in hh:mm format</t>
    </r>
  </si>
  <si>
    <t>Use the Hyperlink tabs to navigate around different forms to be completed.</t>
  </si>
  <si>
    <t>12. If not complete move to next stage and repeat from 5</t>
  </si>
  <si>
    <t>Elected NO is the order that candidates have been elected. Please complete this at each stage when a candidate has been elected.</t>
  </si>
  <si>
    <t>The Elected NO will copy from sheet to sheet when they have been completed so please add the relevant number for each elected candidate on the relevant stage</t>
  </si>
  <si>
    <t>The verification of boxes is completed in the separate workbook and you only need the "NO. OF WHITE  BALLOT PAPERS COUNTED IN BOX AT VERIFICATION " figure from the verification statement for this calculator</t>
  </si>
  <si>
    <t>Common mistakes</t>
  </si>
  <si>
    <t>Omiting the y/n in response to the question "Transfer surplus Y or N"</t>
  </si>
  <si>
    <t>Omiting "y" against candidates to be excluded ot their surplus transferred on respective forms</t>
  </si>
  <si>
    <t>Omiting to complete names of excluded candidates - exclude candidates form</t>
  </si>
  <si>
    <t>input in wrong cell of exclude candidate form - number of papers against an elected candidate etc</t>
  </si>
  <si>
    <t>MOVE TO BASIC INPUT FORM</t>
  </si>
  <si>
    <r>
      <t>Pl</t>
    </r>
    <r>
      <rPr>
        <b/>
        <sz val="12"/>
        <rFont val="Arial"/>
        <family val="2"/>
      </rPr>
      <t>ease do not remove protection from worksheets as this will leave formula / links vunerable to accidental modification etc</t>
    </r>
    <r>
      <rPr>
        <sz val="12"/>
        <rFont val="Arial"/>
        <family val="2"/>
      </rPr>
      <t>.</t>
    </r>
  </si>
  <si>
    <t>BACK TO TOP</t>
  </si>
  <si>
    <t>District Electoral Area of</t>
  </si>
  <si>
    <t>Date of Poll</t>
  </si>
  <si>
    <t xml:space="preserve">Constituency of </t>
  </si>
  <si>
    <t>BACK TO INSTRUCTIONS</t>
  </si>
  <si>
    <t>Election</t>
  </si>
  <si>
    <t>Local Council Elections 2023</t>
  </si>
  <si>
    <t>Lisburn South</t>
  </si>
  <si>
    <t>VERIFICATION OF BOXES &amp; FIRST PREFERENCE</t>
  </si>
  <si>
    <t>Name</t>
  </si>
  <si>
    <t>Party</t>
  </si>
  <si>
    <t>EWING</t>
  </si>
  <si>
    <t>D.U.P.</t>
  </si>
  <si>
    <t>FLYNN</t>
  </si>
  <si>
    <t>Sinn Féin</t>
  </si>
  <si>
    <t>FRENCH</t>
  </si>
  <si>
    <t xml:space="preserve">SDLP </t>
  </si>
  <si>
    <t>GIVAN</t>
  </si>
  <si>
    <t>GREHAN</t>
  </si>
  <si>
    <t>Alliance Party</t>
  </si>
  <si>
    <t>KENNEDY</t>
  </si>
  <si>
    <t>MCEVOY</t>
  </si>
  <si>
    <t xml:space="preserve">TUV </t>
  </si>
  <si>
    <t>MITCHELL</t>
  </si>
  <si>
    <t>UUP</t>
  </si>
  <si>
    <t>PALMER</t>
  </si>
  <si>
    <t>PORTER</t>
  </si>
  <si>
    <t>Number to be Elected</t>
  </si>
  <si>
    <t>Eligible Poll from Electoral Roll</t>
  </si>
  <si>
    <t>ELECTION</t>
  </si>
  <si>
    <t>Eligible poll</t>
  </si>
  <si>
    <t>Papers from boxes</t>
  </si>
  <si>
    <t>Quota</t>
  </si>
  <si>
    <t>Total Count</t>
  </si>
  <si>
    <t>% turn out</t>
  </si>
  <si>
    <t>of people who cast vote</t>
  </si>
  <si>
    <t>VERIFIED BALLOT PAPERS TOTAL:</t>
  </si>
  <si>
    <t xml:space="preserve">NO. OF WHITE  BALLOT PAPERS COUNTED IN BOX AT VERIFICATION </t>
  </si>
  <si>
    <t>1st Preference Votes</t>
  </si>
  <si>
    <t>BACK TO BASIC INPUT FORM</t>
  </si>
  <si>
    <t>**Taken from Column I (BBR) in Verification Statement workbook</t>
  </si>
  <si>
    <t>1st Votes</t>
  </si>
  <si>
    <t>FORWARD TO OVERVIEW STAGE 1</t>
  </si>
  <si>
    <t>Verification Commenced at</t>
  </si>
  <si>
    <t>from verification statement workbook</t>
  </si>
  <si>
    <t>Verification Completed at</t>
  </si>
  <si>
    <t>1st Preference Votes Started at</t>
  </si>
  <si>
    <t>1st Preference Votes Completed at</t>
  </si>
  <si>
    <t>Total</t>
  </si>
  <si>
    <t>Invalid</t>
  </si>
  <si>
    <t>Check Total</t>
  </si>
  <si>
    <t>TURNOUT STATEMENT</t>
  </si>
  <si>
    <t>Eligible Electorate</t>
  </si>
  <si>
    <t>Total votes polled</t>
  </si>
  <si>
    <t>Turnout</t>
  </si>
  <si>
    <t>FIRST STAGE RESULT</t>
  </si>
  <si>
    <t>Total ballot papers</t>
  </si>
  <si>
    <t>Valid votes</t>
  </si>
  <si>
    <t>Invalid votes</t>
  </si>
  <si>
    <t>Stage 1</t>
  </si>
  <si>
    <t>BACK to FIRST PREFERENCE VOTES</t>
  </si>
  <si>
    <t xml:space="preserve">Eligible Electorate </t>
  </si>
  <si>
    <t xml:space="preserve">Invalid Votes </t>
  </si>
  <si>
    <t xml:space="preserve">Electoral Quota of </t>
  </si>
  <si>
    <t xml:space="preserve">Votes Polled </t>
  </si>
  <si>
    <t>Total Valid Votes</t>
  </si>
  <si>
    <t xml:space="preserve">% Poll </t>
  </si>
  <si>
    <t>FORWARD TO STAGE 2</t>
  </si>
  <si>
    <t>Stage 2</t>
  </si>
  <si>
    <t>Stage 3</t>
  </si>
  <si>
    <t>Stage 4</t>
  </si>
  <si>
    <t>Stage 5</t>
  </si>
  <si>
    <t>Stage 6</t>
  </si>
  <si>
    <t>Stage 7</t>
  </si>
  <si>
    <t>Stage 8</t>
  </si>
  <si>
    <t>Stage 9</t>
  </si>
  <si>
    <t>Stage 10</t>
  </si>
  <si>
    <t>Result</t>
  </si>
  <si>
    <t>Elected</t>
  </si>
  <si>
    <t>No</t>
  </si>
  <si>
    <t>Candidate</t>
  </si>
  <si>
    <t>Description</t>
  </si>
  <si>
    <t>1st Preference</t>
  </si>
  <si>
    <t>Non transferable</t>
  </si>
  <si>
    <t>Totals</t>
  </si>
  <si>
    <t xml:space="preserve">Enter Timings </t>
  </si>
  <si>
    <t>Deemed Elected</t>
  </si>
  <si>
    <t>Party Description</t>
  </si>
  <si>
    <t>Non Transferable</t>
  </si>
  <si>
    <t>TOTAL</t>
  </si>
  <si>
    <t>Decision Making  Elected / Exclude / Transfer Stage 2</t>
  </si>
  <si>
    <t>TRANSFER OF SURPLUS VOTES FORM</t>
  </si>
  <si>
    <t>EXCLUSION OF CANDIDATE(S) FORM</t>
  </si>
  <si>
    <t>BACK to DECISION FORM Stage 2</t>
  </si>
  <si>
    <t>Total surplus votes</t>
  </si>
  <si>
    <t>AE 113</t>
  </si>
  <si>
    <t>BACK to DECISION FORM</t>
  </si>
  <si>
    <t>Largest surplus value</t>
  </si>
  <si>
    <t>Exclusion of Candidate(s)</t>
  </si>
  <si>
    <t>FORWARD TO STAGE 3</t>
  </si>
  <si>
    <t>Next Available Preference (f)</t>
  </si>
  <si>
    <t>Number of Papers (g)</t>
  </si>
  <si>
    <t>Value Credited (q) (g) x (k) or (g) x (e)</t>
  </si>
  <si>
    <t>Transfer Enter y</t>
  </si>
  <si>
    <t>Elected?</t>
  </si>
  <si>
    <t>Excluded ?</t>
  </si>
  <si>
    <t>Exclude</t>
  </si>
  <si>
    <t xml:space="preserve">Decision </t>
  </si>
  <si>
    <t>TRANSFER SURPLUS y or n</t>
  </si>
  <si>
    <t>Y</t>
  </si>
  <si>
    <t>If exclude enter y</t>
  </si>
  <si>
    <t>First Preference</t>
  </si>
  <si>
    <t>Others</t>
  </si>
  <si>
    <t>Value</t>
  </si>
  <si>
    <t>Total Papers</t>
  </si>
  <si>
    <t>BACK to Overview of STAGE 1</t>
  </si>
  <si>
    <t>Q1</t>
  </si>
  <si>
    <t>If the total surplus is transferred to lowest candidate - would this make a difference to the order - if yes - transfer the largest surplus, otherwise Exclude</t>
  </si>
  <si>
    <t>@</t>
  </si>
  <si>
    <t>Transfer</t>
  </si>
  <si>
    <t>Elected ?</t>
  </si>
  <si>
    <t>Vote</t>
  </si>
  <si>
    <t>Next Available Preference</t>
  </si>
  <si>
    <t>Papers</t>
  </si>
  <si>
    <t>Total Value Credited</t>
  </si>
  <si>
    <t>TRANSFER THE SURPLUS VOTE OF CANDIDATE</t>
  </si>
  <si>
    <t>Q2</t>
  </si>
  <si>
    <t>If the total surplus is transferred, the lowest candidate(s) will inevitably continue to be excluded, then exclude this/these candidate(s)</t>
  </si>
  <si>
    <t>Candidate's present vote</t>
  </si>
  <si>
    <t>(a)</t>
  </si>
  <si>
    <t>(b)</t>
  </si>
  <si>
    <t>Surplus of transfer</t>
  </si>
  <si>
    <t>(a) - (b) = (c)</t>
  </si>
  <si>
    <t>Present vote</t>
  </si>
  <si>
    <t>Difference</t>
  </si>
  <si>
    <t>Status</t>
  </si>
  <si>
    <t>Surplus</t>
  </si>
  <si>
    <t>Present Vote</t>
  </si>
  <si>
    <t>Potential Total if all lower candidates excluded &amp; surplus transferred</t>
  </si>
  <si>
    <t>Exclude ?</t>
  </si>
  <si>
    <t>Number of papers for review</t>
  </si>
  <si>
    <t>(d)</t>
  </si>
  <si>
    <t>Present value of each paper</t>
  </si>
  <si>
    <t>(e)</t>
  </si>
  <si>
    <t>COMPLETE COLUMNS (f) AND (g) OPPOSITE</t>
  </si>
  <si>
    <t>Number of papers transferable</t>
  </si>
  <si>
    <t>(h)</t>
  </si>
  <si>
    <t>Present total value of transferable papers</t>
  </si>
  <si>
    <t>(h) x (e) = (j)</t>
  </si>
  <si>
    <t>Lowest votes</t>
  </si>
  <si>
    <t>next lowest</t>
  </si>
  <si>
    <t>If the present total value (j) of transferable papers EXCEEDS the surplus (c)</t>
  </si>
  <si>
    <t>The TRANSFER VALUE is the reduced value (to 2 decimal places ignoring remainder)</t>
  </si>
  <si>
    <t>(c) / (h) = (k)</t>
  </si>
  <si>
    <t>New total value of transferable papers</t>
  </si>
  <si>
    <t>(h) x (k) = (m)</t>
  </si>
  <si>
    <t>Non- transferable difference</t>
  </si>
  <si>
    <t>(c) - (m) = (n)</t>
  </si>
  <si>
    <t>Transferable Totals (h)</t>
  </si>
  <si>
    <t>Non- transferable papers (I)</t>
  </si>
  <si>
    <t>If the present total value (j) of transferable papers DOES NOT EXCEED the surplus (c)</t>
  </si>
  <si>
    <t>Total papers/Surplus (d) &amp; (c)</t>
  </si>
  <si>
    <t>MOVE TO TRANSFER OF SURPLUS VOTES FORM</t>
  </si>
  <si>
    <t>The TRANSFER VALUE is the present value</t>
  </si>
  <si>
    <t>Check figure</t>
  </si>
  <si>
    <t>TOTALS</t>
  </si>
  <si>
    <t>OVERVIEW OF STAGE 2</t>
  </si>
  <si>
    <t>MOVE TO EXCLUDE CANDIDATE FORM</t>
  </si>
  <si>
    <t>Non-transferable difference</t>
  </si>
  <si>
    <t>(c) - (j) = (p)</t>
  </si>
  <si>
    <t>Extent of error</t>
  </si>
  <si>
    <t>FORWARD to OVERVIEW OF STAGE 2</t>
  </si>
  <si>
    <r>
      <t xml:space="preserve">Please see below a new </t>
    </r>
    <r>
      <rPr>
        <b/>
        <sz val="10"/>
        <rFont val="Arial"/>
        <family val="2"/>
      </rPr>
      <t>trial</t>
    </r>
    <r>
      <rPr>
        <sz val="10"/>
        <rFont val="Arial"/>
        <family val="2"/>
      </rPr>
      <t xml:space="preserve"> layout for the management of exclusions that reviews</t>
    </r>
  </si>
  <si>
    <t>all the candidates in the election rtaher than just the top 6 candidates</t>
  </si>
  <si>
    <t>TRIAL CHECK FOR EXCLUSIONS</t>
  </si>
  <si>
    <t>Exclude?</t>
  </si>
  <si>
    <t>Table to sort lowest candiditates votes into reverse order</t>
  </si>
  <si>
    <t>Summation to Overview</t>
  </si>
  <si>
    <t xml:space="preserve">Selected Candidate </t>
  </si>
  <si>
    <t>From Transfer Form</t>
  </si>
  <si>
    <t>From Exclude form</t>
  </si>
  <si>
    <t>Results Carried to Overview</t>
  </si>
  <si>
    <t>From exclude form</t>
  </si>
  <si>
    <t>Check Calcs</t>
  </si>
  <si>
    <t>Non Transferable vote</t>
  </si>
  <si>
    <t>2nd Stage Received</t>
  </si>
  <si>
    <t>Total Votes Polled</t>
  </si>
  <si>
    <t>Decision Making  Elected / Exclude / Transfer Stage 3</t>
  </si>
  <si>
    <t>BACK to DECISION FORM Stage 3</t>
  </si>
  <si>
    <t xml:space="preserve"> MCEVOY</t>
  </si>
  <si>
    <t>FORWARD TO STAGE 4</t>
  </si>
  <si>
    <t>N</t>
  </si>
  <si>
    <t>BACK to Overview of STAGE 2</t>
  </si>
  <si>
    <t>FORWARD to OVERVIEW OF STAGE 3</t>
  </si>
  <si>
    <t>3rd Stage Received</t>
  </si>
  <si>
    <t>Decision Making  Elected / Exclude / Transfer Stage 4</t>
  </si>
  <si>
    <t>BACK to DECISION FORM Stage 4</t>
  </si>
  <si>
    <t>FORWARD TO STAGE 5</t>
  </si>
  <si>
    <t>BACK to Overview of STAGE 3</t>
  </si>
  <si>
    <t>FORWARD to OVERVIEW OF STAGE 4</t>
  </si>
  <si>
    <t>4th Stage Received</t>
  </si>
  <si>
    <t>Decision Making  Elected / Exclude / Transfer Stage 5</t>
  </si>
  <si>
    <t>BACK to DECISION FORM Stage 5</t>
  </si>
  <si>
    <t>FORWARD TO STAGE 6</t>
  </si>
  <si>
    <t>BACK to Overview of STAGE 4</t>
  </si>
  <si>
    <t>FORWARD to OVERVIEW OF STAGE 5</t>
  </si>
  <si>
    <t>5th Stage Received</t>
  </si>
  <si>
    <t>Decision Making  Elected / Exclude / Transfer Stage 6</t>
  </si>
  <si>
    <t>BACK to DECISION FORM Stage 6</t>
  </si>
  <si>
    <t>FORWARD TO STAGE 7</t>
  </si>
  <si>
    <t>BACK to Overview of STAGE 5</t>
  </si>
  <si>
    <t>FORWARD to OVERVIEW OF STAGE 6</t>
  </si>
  <si>
    <t>6th Stage Received</t>
  </si>
  <si>
    <t>Decision Making  Elected / Exclude / Transfer Stage 7</t>
  </si>
  <si>
    <t>BACK to DECISION FORM Stage 7</t>
  </si>
  <si>
    <t>FORWARD TO STAGE 8</t>
  </si>
  <si>
    <t>BACK to Overview of STAGE 6</t>
  </si>
  <si>
    <t>FORWARD to OVERVIEW OF STAGE 7</t>
  </si>
  <si>
    <t>7th Stage Received</t>
  </si>
  <si>
    <t>Decision Making  Elected / Exclude / Transfer Stage 8</t>
  </si>
  <si>
    <t>BACK to DECISION FORM Stage 8</t>
  </si>
  <si>
    <t>FORWARD TO STAGE 9</t>
  </si>
  <si>
    <t>BACK to Overview of STAGE 7</t>
  </si>
  <si>
    <t>FORWARD to OVERVIEW OF STAGE 8</t>
  </si>
  <si>
    <t>8th Stage Received</t>
  </si>
  <si>
    <t>Decision Making  Elected / Exclude / Transfer Stage 9</t>
  </si>
  <si>
    <t>BACK to DECISION FORM Stage 9</t>
  </si>
  <si>
    <t>FORWARD TO STAGE 10</t>
  </si>
  <si>
    <t>BACK to Overview of STAGE 8</t>
  </si>
  <si>
    <t>FORWARD to OVERVIEW OF STAGE 9</t>
  </si>
  <si>
    <t>9th Stage Received</t>
  </si>
  <si>
    <t>Decision Making  Elected / Exclude / Transfer Stage 10</t>
  </si>
  <si>
    <t>BACK to DECISION FORM Stage 10</t>
  </si>
  <si>
    <t>FORWARD TO STAGE 11</t>
  </si>
  <si>
    <t>BACK to Overview of STAGE 9</t>
  </si>
  <si>
    <t>FORWARD to OVERVIEW OF STAGE 10</t>
  </si>
  <si>
    <t>10th Stage Received</t>
  </si>
  <si>
    <t>Stage 11</t>
  </si>
  <si>
    <t>Decision Making  Elected / Exclude / Transfer Stage 11</t>
  </si>
  <si>
    <t>BACK to DECISION FORM Stage 11</t>
  </si>
  <si>
    <t>OVERVIEW OF STAGES 10 - 11</t>
  </si>
  <si>
    <t>FORWARD TO STAGE 12</t>
  </si>
  <si>
    <t>BACK to Overview of STAGE 10</t>
  </si>
  <si>
    <t>FORWARD to OVERVIEW OF STAGE 11</t>
  </si>
  <si>
    <t>OVERVIEW OF STAGES 1 - 10</t>
  </si>
  <si>
    <t>Stage 12</t>
  </si>
  <si>
    <t>Stage 13</t>
  </si>
  <si>
    <t>Stage 14</t>
  </si>
  <si>
    <t>Stage 15</t>
  </si>
  <si>
    <t>Stage 16</t>
  </si>
  <si>
    <t>Stage 17</t>
  </si>
  <si>
    <t>Stage 18</t>
  </si>
  <si>
    <t>11th Stage Received</t>
  </si>
  <si>
    <t>Decision Making  Elected / Exclude / Transfer Stage 12</t>
  </si>
  <si>
    <t>BACK to DECISION FORM Stage 12</t>
  </si>
  <si>
    <t>OVERVIEW OF STAGES 10 - 12</t>
  </si>
  <si>
    <t>FORWARD TO STAGE 13</t>
  </si>
  <si>
    <t>BACK to Overview of STAGE 11</t>
  </si>
  <si>
    <t>FORWARD to OVERVIEW OF STAGE 12</t>
  </si>
  <si>
    <t>12th Stage Received</t>
  </si>
  <si>
    <t>Decision Making  Elected / Exclude / Transfer Stage 13</t>
  </si>
  <si>
    <t>BACK to DECISION FORM Stage 13</t>
  </si>
  <si>
    <t>OVERVIEW OF STAGES 10 - 13</t>
  </si>
  <si>
    <t>FORWARD TO STAGE 14</t>
  </si>
  <si>
    <t>BACK to Overview of STAGE 12</t>
  </si>
  <si>
    <t>FORWARD to OVERVIEW OF STAGE 13</t>
  </si>
  <si>
    <t>13th Stage Received</t>
  </si>
  <si>
    <t>Decision Making  Elected / Exclude / Transfer Stage 14</t>
  </si>
  <si>
    <t>BACK to DECISION FORM Stage 14</t>
  </si>
  <si>
    <t>OVERVIEW OF STAGES 10 - 14</t>
  </si>
  <si>
    <t>FORWARD TO STAGE 15</t>
  </si>
  <si>
    <t>BACK to Overview of STAGE 13</t>
  </si>
  <si>
    <t>FORWARD to OVERVIEW OF STAGE 14</t>
  </si>
  <si>
    <t>14th Stage Received</t>
  </si>
  <si>
    <t>Decision Making  Elected / Exclude / Transfer Stage 15</t>
  </si>
  <si>
    <t>BACK to DECISION FORM Stage 15</t>
  </si>
  <si>
    <t>OVERVIEW OF STAGES 10 - 15</t>
  </si>
  <si>
    <t>FORWARD TO STAGE 16</t>
  </si>
  <si>
    <t>BACK to Overview of STAGE 14</t>
  </si>
  <si>
    <t>FORWARD to OVERVIEW OF STAGE 15</t>
  </si>
  <si>
    <t>15th Stage Received</t>
  </si>
  <si>
    <t>Decision Making  Elected / Exclude / Transfer Stage 16</t>
  </si>
  <si>
    <t>BACK to DECISION FORM Stage 16</t>
  </si>
  <si>
    <t>OVERVIEW OF STAGES 10 - 16</t>
  </si>
  <si>
    <t>FORWARD TO STAGE 17</t>
  </si>
  <si>
    <t>BACK to Overview of STAGE 15</t>
  </si>
  <si>
    <t>FORWARD to OVERVIEW OF STAGE 16</t>
  </si>
  <si>
    <t>16th Stage Received</t>
  </si>
  <si>
    <t>Decision Making  Elected / Exclude / Transfer Stage 17</t>
  </si>
  <si>
    <t>BACK to DECISION FORM Stage 17</t>
  </si>
  <si>
    <t>OVERVIEW OF STAGES 10 - 17</t>
  </si>
  <si>
    <t>FORWARD TO STAGE 18</t>
  </si>
  <si>
    <t>BACK to Overview of STAGE 16</t>
  </si>
  <si>
    <t>FORWARD to OVERVIEW OF STAGE 17</t>
  </si>
  <si>
    <t>17th Stage Received</t>
  </si>
  <si>
    <t>Decision Making  Elected / Exclude / Transfer Stage 18</t>
  </si>
  <si>
    <t>BACK to DECISION FORM Stage 18</t>
  </si>
  <si>
    <t>OVERVIEW OF STAGES 10 - 18</t>
  </si>
  <si>
    <t>BACK to Overview of STAGE 17</t>
  </si>
  <si>
    <t>FORWARD to OVERVIEW OF STAGE 18</t>
  </si>
  <si>
    <t>NO NEXT STAGE IN CURRENT WORKSHEET RETURN TO OVERVIEW STAGE 18</t>
  </si>
  <si>
    <t>18th Stage Received</t>
  </si>
  <si>
    <t xml:space="preserve">Statistical information for count at </t>
  </si>
  <si>
    <t xml:space="preserve">Election </t>
  </si>
  <si>
    <t xml:space="preserve">Date of Election </t>
  </si>
  <si>
    <t xml:space="preserve">Number of Sorting &amp; Counting staff </t>
  </si>
  <si>
    <t>Stage</t>
  </si>
  <si>
    <t>Transfer / Exclude</t>
  </si>
  <si>
    <t>Candidates</t>
  </si>
  <si>
    <t>Item</t>
  </si>
  <si>
    <t>Verification of Boxes</t>
  </si>
  <si>
    <t>Verification</t>
  </si>
  <si>
    <t>All Papers all Boxes all Candidates</t>
  </si>
  <si>
    <t>Number of Papers</t>
  </si>
  <si>
    <t>Time at Start of Stage</t>
  </si>
  <si>
    <t>Time at Finish of Stage</t>
  </si>
  <si>
    <t>Time to Verify all papers</t>
  </si>
  <si>
    <t>Time taken to sort &amp; count 100 voting papers</t>
  </si>
  <si>
    <t>Papers verified per person counting</t>
  </si>
  <si>
    <t>Time taken to verify a paper per person</t>
  </si>
  <si>
    <t>First Preference Votes (Stage 1)</t>
  </si>
  <si>
    <t>Stage 1 Count</t>
  </si>
  <si>
    <t>All Candidates</t>
  </si>
  <si>
    <t>Number of Papers sorted &amp; counted</t>
  </si>
  <si>
    <t>Time to Sort &amp; Count Stage</t>
  </si>
  <si>
    <t>Papers counted per person counting</t>
  </si>
  <si>
    <t>Time taken to Sort &amp; Count a paper per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</si>
</sst>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hh:mm:ss;@"/>
    <numFmt numFmtId="165" formatCode="[$-F400]h:mm:ss\ AM/PM"/>
    <numFmt numFmtId="166" formatCode="_-* #,##0_-;\-* #,##0_-;_-* &quot;-&quot;??_-;_-@_-"/>
  </numFmts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u/>
      <sz val="12"/>
      <color indexed="12"/>
      <name val="Arial"/>
      <family val="2"/>
    </font>
    <font>
      <b/>
      <sz val="16"/>
      <name val="Arial"/>
      <family val="2"/>
    </font>
    <font>
      <b/>
      <u/>
      <sz val="12"/>
      <color indexed="12"/>
      <name val="Arial"/>
      <family val="2"/>
    </font>
    <font>
      <b/>
      <sz val="11"/>
      <color indexed="10"/>
      <name val="Arial"/>
      <family val="2"/>
    </font>
    <font>
      <sz val="10"/>
      <name val="Arial"/>
      <family val="2"/>
    </font>
    <font>
      <sz val="18"/>
      <name val="Arial Black"/>
      <family val="2"/>
    </font>
    <font>
      <sz val="18"/>
      <name val="Arial"/>
      <family val="2"/>
    </font>
    <font>
      <sz val="26"/>
      <name val="Arial Black"/>
      <family val="2"/>
    </font>
    <font>
      <sz val="28"/>
      <name val="Arial"/>
      <family val="2"/>
    </font>
    <font>
      <sz val="12"/>
      <name val="Arial Blac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Arial"/>
      <family val="2"/>
    </font>
    <font>
      <b/>
      <sz val="22"/>
      <color theme="3" tint="-0.249977111117893"/>
      <name val="Arial"/>
      <family val="2"/>
    </font>
    <font>
      <sz val="22"/>
      <color theme="3" tint="-0.249977111117893"/>
      <name val="Arial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384">
    <xf numFmtId="0" fontId="0" fillId="0" borderId="0" xfId="0"/>
    <xf numFmtId="0" fontId="0" fillId="0" borderId="1" xfId="0" applyBorder="1"/>
    <xf numFmtId="2" fontId="0" fillId="0" borderId="0" xfId="0" applyNumberFormat="1"/>
    <xf numFmtId="0" fontId="0" fillId="0" borderId="0" xfId="0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2" fillId="0" borderId="0" xfId="0" applyFont="1"/>
    <xf numFmtId="0" fontId="0" fillId="0" borderId="2" xfId="0" applyBorder="1" applyAlignment="1">
      <alignment horizontal="left"/>
    </xf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left"/>
    </xf>
    <xf numFmtId="15" fontId="0" fillId="0" borderId="0" xfId="0" applyNumberFormat="1"/>
    <xf numFmtId="2" fontId="0" fillId="0" borderId="17" xfId="0" applyNumberFormat="1" applyBorder="1"/>
    <xf numFmtId="0" fontId="0" fillId="0" borderId="0" xfId="0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8" xfId="0" applyBorder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6" fillId="0" borderId="0" xfId="0" applyFont="1"/>
    <xf numFmtId="2" fontId="0" fillId="0" borderId="2" xfId="0" applyNumberFormat="1" applyBorder="1"/>
    <xf numFmtId="0" fontId="7" fillId="0" borderId="0" xfId="0" applyFont="1"/>
    <xf numFmtId="2" fontId="0" fillId="0" borderId="2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0" borderId="5" xfId="0" applyBorder="1" applyAlignment="1">
      <alignment horizontal="left"/>
    </xf>
    <xf numFmtId="2" fontId="0" fillId="2" borderId="3" xfId="0" applyNumberFormat="1" applyFill="1" applyBorder="1"/>
    <xf numFmtId="2" fontId="0" fillId="2" borderId="24" xfId="0" applyNumberFormat="1" applyFill="1" applyBorder="1"/>
    <xf numFmtId="2" fontId="0" fillId="0" borderId="5" xfId="0" applyNumberFormat="1" applyBorder="1"/>
    <xf numFmtId="2" fontId="0" fillId="2" borderId="5" xfId="0" applyNumberFormat="1" applyFill="1" applyBorder="1"/>
    <xf numFmtId="2" fontId="0" fillId="0" borderId="25" xfId="0" applyNumberFormat="1" applyBorder="1"/>
    <xf numFmtId="2" fontId="0" fillId="2" borderId="26" xfId="0" applyNumberFormat="1" applyFill="1" applyBorder="1"/>
    <xf numFmtId="2" fontId="0" fillId="0" borderId="10" xfId="0" applyNumberFormat="1" applyBorder="1"/>
    <xf numFmtId="2" fontId="0" fillId="0" borderId="1" xfId="0" applyNumberFormat="1" applyBorder="1"/>
    <xf numFmtId="0" fontId="0" fillId="0" borderId="27" xfId="0" applyBorder="1"/>
    <xf numFmtId="0" fontId="2" fillId="0" borderId="28" xfId="0" applyFont="1" applyBorder="1"/>
    <xf numFmtId="0" fontId="2" fillId="0" borderId="29" xfId="0" applyFont="1" applyBorder="1"/>
    <xf numFmtId="0" fontId="0" fillId="0" borderId="23" xfId="0" applyBorder="1"/>
    <xf numFmtId="0" fontId="0" fillId="0" borderId="25" xfId="0" applyBorder="1"/>
    <xf numFmtId="0" fontId="0" fillId="3" borderId="2" xfId="0" applyFill="1" applyBorder="1" applyAlignment="1">
      <alignment horizontal="left"/>
    </xf>
    <xf numFmtId="0" fontId="0" fillId="3" borderId="4" xfId="0" applyFill="1" applyBorder="1"/>
    <xf numFmtId="2" fontId="0" fillId="0" borderId="13" xfId="0" applyNumberFormat="1" applyBorder="1"/>
    <xf numFmtId="0" fontId="0" fillId="0" borderId="30" xfId="0" applyBorder="1"/>
    <xf numFmtId="0" fontId="0" fillId="0" borderId="17" xfId="0" applyBorder="1"/>
    <xf numFmtId="0" fontId="0" fillId="0" borderId="31" xfId="0" applyBorder="1"/>
    <xf numFmtId="0" fontId="0" fillId="0" borderId="32" xfId="0" applyBorder="1"/>
    <xf numFmtId="0" fontId="0" fillId="3" borderId="1" xfId="0" applyFill="1" applyBorder="1"/>
    <xf numFmtId="0" fontId="0" fillId="3" borderId="2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4" borderId="13" xfId="0" applyFont="1" applyFill="1" applyBorder="1"/>
    <xf numFmtId="0" fontId="2" fillId="4" borderId="18" xfId="0" applyFont="1" applyFill="1" applyBorder="1"/>
    <xf numFmtId="2" fontId="0" fillId="4" borderId="19" xfId="0" applyNumberFormat="1" applyFill="1" applyBorder="1"/>
    <xf numFmtId="2" fontId="0" fillId="4" borderId="33" xfId="0" applyNumberFormat="1" applyFill="1" applyBorder="1"/>
    <xf numFmtId="2" fontId="0" fillId="4" borderId="30" xfId="0" applyNumberFormat="1" applyFill="1" applyBorder="1"/>
    <xf numFmtId="2" fontId="0" fillId="4" borderId="34" xfId="0" applyNumberFormat="1" applyFill="1" applyBorder="1"/>
    <xf numFmtId="2" fontId="0" fillId="4" borderId="7" xfId="0" applyNumberFormat="1" applyFill="1" applyBorder="1"/>
    <xf numFmtId="0" fontId="1" fillId="0" borderId="0" xfId="0" applyFont="1"/>
    <xf numFmtId="0" fontId="0" fillId="0" borderId="35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/>
    </xf>
    <xf numFmtId="15" fontId="0" fillId="3" borderId="2" xfId="0" applyNumberForma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3" borderId="2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3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7" xfId="0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7" xfId="0" applyFont="1" applyBorder="1"/>
    <xf numFmtId="0" fontId="0" fillId="0" borderId="24" xfId="0" applyBorder="1"/>
    <xf numFmtId="0" fontId="0" fillId="0" borderId="38" xfId="0" applyBorder="1"/>
    <xf numFmtId="2" fontId="0" fillId="0" borderId="39" xfId="0" applyNumberFormat="1" applyBorder="1"/>
    <xf numFmtId="0" fontId="0" fillId="0" borderId="39" xfId="0" applyBorder="1"/>
    <xf numFmtId="0" fontId="0" fillId="0" borderId="0" xfId="0" applyAlignment="1">
      <alignment wrapText="1"/>
    </xf>
    <xf numFmtId="0" fontId="0" fillId="0" borderId="30" xfId="0" applyBorder="1" applyAlignment="1">
      <alignment horizontal="right"/>
    </xf>
    <xf numFmtId="2" fontId="0" fillId="0" borderId="38" xfId="0" applyNumberFormat="1" applyBorder="1"/>
    <xf numFmtId="0" fontId="4" fillId="0" borderId="21" xfId="0" applyFont="1" applyBorder="1"/>
    <xf numFmtId="0" fontId="0" fillId="0" borderId="31" xfId="0" applyBorder="1" applyAlignment="1">
      <alignment horizontal="right"/>
    </xf>
    <xf numFmtId="0" fontId="4" fillId="0" borderId="40" xfId="0" applyFont="1" applyBorder="1"/>
    <xf numFmtId="0" fontId="0" fillId="0" borderId="27" xfId="0" applyBorder="1" applyAlignment="1">
      <alignment horizontal="right"/>
    </xf>
    <xf numFmtId="0" fontId="4" fillId="0" borderId="0" xfId="0" applyFont="1" applyAlignment="1">
      <alignment wrapText="1"/>
    </xf>
    <xf numFmtId="0" fontId="0" fillId="0" borderId="21" xfId="0" applyBorder="1"/>
    <xf numFmtId="0" fontId="0" fillId="0" borderId="41" xfId="0" applyBorder="1"/>
    <xf numFmtId="0" fontId="0" fillId="0" borderId="42" xfId="0" applyBorder="1"/>
    <xf numFmtId="0" fontId="9" fillId="0" borderId="0" xfId="1" applyFill="1" applyBorder="1" applyAlignment="1" applyProtection="1">
      <alignment horizontal="left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30" xfId="0" applyBorder="1" applyAlignment="1">
      <alignment horizontal="left"/>
    </xf>
    <xf numFmtId="0" fontId="0" fillId="0" borderId="43" xfId="0" applyBorder="1" applyAlignment="1">
      <alignment horizontal="left"/>
    </xf>
    <xf numFmtId="2" fontId="0" fillId="0" borderId="44" xfId="0" applyNumberFormat="1" applyBorder="1"/>
    <xf numFmtId="2" fontId="0" fillId="0" borderId="45" xfId="0" applyNumberFormat="1" applyBorder="1"/>
    <xf numFmtId="0" fontId="0" fillId="0" borderId="37" xfId="0" applyBorder="1"/>
    <xf numFmtId="0" fontId="0" fillId="0" borderId="30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21" xfId="0" applyBorder="1" applyAlignment="1">
      <alignment wrapText="1"/>
    </xf>
    <xf numFmtId="0" fontId="9" fillId="0" borderId="0" xfId="1" applyFill="1" applyBorder="1" applyAlignment="1" applyProtection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34" xfId="0" applyFill="1" applyBorder="1"/>
    <xf numFmtId="0" fontId="0" fillId="0" borderId="46" xfId="0" applyBorder="1"/>
    <xf numFmtId="0" fontId="0" fillId="0" borderId="47" xfId="0" applyBorder="1"/>
    <xf numFmtId="0" fontId="0" fillId="0" borderId="11" xfId="0" applyBorder="1" applyAlignment="1">
      <alignment horizontal="right"/>
    </xf>
    <xf numFmtId="0" fontId="0" fillId="0" borderId="48" xfId="0" applyBorder="1" applyAlignment="1">
      <alignment horizontal="center"/>
    </xf>
    <xf numFmtId="0" fontId="0" fillId="0" borderId="47" xfId="0" applyBorder="1" applyAlignment="1">
      <alignment horizontal="right"/>
    </xf>
    <xf numFmtId="0" fontId="0" fillId="0" borderId="49" xfId="0" applyBorder="1"/>
    <xf numFmtId="0" fontId="0" fillId="0" borderId="8" xfId="0" applyBorder="1" applyAlignment="1">
      <alignment horizontal="right"/>
    </xf>
    <xf numFmtId="0" fontId="0" fillId="0" borderId="50" xfId="0" applyBorder="1"/>
    <xf numFmtId="0" fontId="0" fillId="0" borderId="48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2" fillId="4" borderId="1" xfId="0" applyFont="1" applyFill="1" applyBorder="1"/>
    <xf numFmtId="2" fontId="2" fillId="4" borderId="1" xfId="0" applyNumberFormat="1" applyFont="1" applyFill="1" applyBorder="1"/>
    <xf numFmtId="2" fontId="0" fillId="0" borderId="0" xfId="0" applyNumberFormat="1" applyAlignment="1">
      <alignment horizontal="right"/>
    </xf>
    <xf numFmtId="0" fontId="0" fillId="0" borderId="8" xfId="0" applyBorder="1" applyAlignment="1">
      <alignment horizontal="center"/>
    </xf>
    <xf numFmtId="2" fontId="0" fillId="0" borderId="30" xfId="0" applyNumberFormat="1" applyBorder="1"/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5" xfId="0" applyBorder="1"/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46" xfId="0" applyBorder="1" applyAlignment="1">
      <alignment horizontal="right"/>
    </xf>
    <xf numFmtId="2" fontId="0" fillId="0" borderId="46" xfId="0" applyNumberFormat="1" applyBorder="1"/>
    <xf numFmtId="0" fontId="4" fillId="0" borderId="46" xfId="0" applyFont="1" applyBorder="1"/>
    <xf numFmtId="0" fontId="0" fillId="0" borderId="10" xfId="0" applyBorder="1" applyAlignment="1">
      <alignment horizontal="right"/>
    </xf>
    <xf numFmtId="0" fontId="4" fillId="0" borderId="41" xfId="0" applyFont="1" applyBorder="1"/>
    <xf numFmtId="0" fontId="4" fillId="0" borderId="42" xfId="0" applyFont="1" applyBorder="1"/>
    <xf numFmtId="0" fontId="0" fillId="0" borderId="58" xfId="0" applyBorder="1"/>
    <xf numFmtId="0" fontId="4" fillId="0" borderId="59" xfId="0" applyFont="1" applyBorder="1"/>
    <xf numFmtId="0" fontId="0" fillId="0" borderId="0" xfId="0" applyAlignment="1">
      <alignment horizontal="center" wrapText="1"/>
    </xf>
    <xf numFmtId="0" fontId="0" fillId="3" borderId="37" xfId="0" applyFill="1" applyBorder="1"/>
    <xf numFmtId="0" fontId="0" fillId="0" borderId="1" xfId="0" applyBorder="1" applyAlignment="1">
      <alignment horizontal="center"/>
    </xf>
    <xf numFmtId="0" fontId="0" fillId="0" borderId="44" xfId="0" applyBorder="1"/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0" fillId="0" borderId="63" xfId="0" applyBorder="1"/>
    <xf numFmtId="2" fontId="0" fillId="4" borderId="2" xfId="0" applyNumberFormat="1" applyFill="1" applyBorder="1"/>
    <xf numFmtId="2" fontId="0" fillId="4" borderId="37" xfId="0" applyNumberFormat="1" applyFill="1" applyBorder="1"/>
    <xf numFmtId="2" fontId="0" fillId="4" borderId="1" xfId="0" applyNumberFormat="1" applyFill="1" applyBorder="1"/>
    <xf numFmtId="0" fontId="0" fillId="0" borderId="36" xfId="0" applyBorder="1" applyAlignment="1">
      <alignment horizontal="right"/>
    </xf>
    <xf numFmtId="0" fontId="0" fillId="0" borderId="24" xfId="0" applyBorder="1" applyAlignment="1">
      <alignment horizontal="right"/>
    </xf>
    <xf numFmtId="2" fontId="0" fillId="3" borderId="1" xfId="0" applyNumberFormat="1" applyFill="1" applyBorder="1"/>
    <xf numFmtId="0" fontId="11" fillId="0" borderId="0" xfId="0" applyFont="1"/>
    <xf numFmtId="0" fontId="11" fillId="3" borderId="2" xfId="0" applyFont="1" applyFill="1" applyBorder="1"/>
    <xf numFmtId="0" fontId="14" fillId="0" borderId="0" xfId="0" applyFont="1"/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55" xfId="0" applyBorder="1" applyAlignment="1">
      <alignment horizontal="right"/>
    </xf>
    <xf numFmtId="0" fontId="0" fillId="0" borderId="36" xfId="0" applyBorder="1"/>
    <xf numFmtId="0" fontId="0" fillId="0" borderId="0" xfId="0" applyAlignment="1">
      <alignment horizontal="left" wrapText="1"/>
    </xf>
    <xf numFmtId="2" fontId="8" fillId="0" borderId="1" xfId="0" applyNumberFormat="1" applyFont="1" applyBorder="1"/>
    <xf numFmtId="0" fontId="0" fillId="3" borderId="16" xfId="0" applyFill="1" applyBorder="1"/>
    <xf numFmtId="0" fontId="0" fillId="0" borderId="64" xfId="0" applyBorder="1"/>
    <xf numFmtId="0" fontId="0" fillId="0" borderId="65" xfId="0" applyBorder="1"/>
    <xf numFmtId="0" fontId="5" fillId="0" borderId="0" xfId="0" applyFont="1" applyAlignment="1">
      <alignment vertical="center"/>
    </xf>
    <xf numFmtId="2" fontId="8" fillId="0" borderId="0" xfId="0" applyNumberFormat="1" applyFont="1"/>
    <xf numFmtId="0" fontId="0" fillId="0" borderId="56" xfId="0" applyBorder="1"/>
    <xf numFmtId="0" fontId="0" fillId="0" borderId="66" xfId="0" applyBorder="1"/>
    <xf numFmtId="0" fontId="0" fillId="0" borderId="57" xfId="0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3" borderId="2" xfId="0" applyFont="1" applyFill="1" applyBorder="1"/>
    <xf numFmtId="164" fontId="0" fillId="3" borderId="1" xfId="0" applyNumberFormat="1" applyFill="1" applyBorder="1"/>
    <xf numFmtId="164" fontId="0" fillId="0" borderId="0" xfId="0" applyNumberFormat="1"/>
    <xf numFmtId="164" fontId="0" fillId="0" borderId="1" xfId="0" applyNumberFormat="1" applyBorder="1"/>
    <xf numFmtId="15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2" fontId="0" fillId="6" borderId="24" xfId="0" applyNumberFormat="1" applyFill="1" applyBorder="1"/>
    <xf numFmtId="2" fontId="0" fillId="6" borderId="5" xfId="0" applyNumberFormat="1" applyFill="1" applyBorder="1"/>
    <xf numFmtId="2" fontId="0" fillId="6" borderId="26" xfId="0" applyNumberFormat="1" applyFill="1" applyBorder="1"/>
    <xf numFmtId="2" fontId="0" fillId="6" borderId="3" xfId="0" applyNumberFormat="1" applyFill="1" applyBorder="1"/>
    <xf numFmtId="0" fontId="9" fillId="0" borderId="0" xfId="1" applyAlignment="1" applyProtection="1"/>
    <xf numFmtId="0" fontId="6" fillId="0" borderId="0" xfId="0" applyFont="1" applyAlignment="1">
      <alignment horizontal="center" vertical="center"/>
    </xf>
    <xf numFmtId="0" fontId="15" fillId="0" borderId="0" xfId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2" fontId="0" fillId="6" borderId="2" xfId="0" applyNumberFormat="1" applyFill="1" applyBorder="1"/>
    <xf numFmtId="0" fontId="0" fillId="7" borderId="2" xfId="0" applyFill="1" applyBorder="1" applyAlignment="1">
      <alignment horizontal="right"/>
    </xf>
    <xf numFmtId="0" fontId="0" fillId="7" borderId="2" xfId="0" applyFill="1" applyBorder="1"/>
    <xf numFmtId="0" fontId="0" fillId="7" borderId="0" xfId="0" applyFill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7" borderId="2" xfId="0" applyFont="1" applyFill="1" applyBorder="1"/>
    <xf numFmtId="164" fontId="0" fillId="7" borderId="2" xfId="0" applyNumberFormat="1" applyFill="1" applyBorder="1"/>
    <xf numFmtId="1" fontId="0" fillId="7" borderId="2" xfId="0" applyNumberFormat="1" applyFill="1" applyBorder="1"/>
    <xf numFmtId="164" fontId="0" fillId="0" borderId="2" xfId="0" applyNumberFormat="1" applyBorder="1"/>
    <xf numFmtId="1" fontId="0" fillId="0" borderId="2" xfId="0" applyNumberFormat="1" applyBorder="1"/>
    <xf numFmtId="0" fontId="2" fillId="7" borderId="2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165" fontId="0" fillId="7" borderId="2" xfId="0" applyNumberFormat="1" applyFill="1" applyBorder="1"/>
    <xf numFmtId="165" fontId="0" fillId="0" borderId="0" xfId="0" applyNumberFormat="1"/>
    <xf numFmtId="165" fontId="0" fillId="0" borderId="2" xfId="0" applyNumberFormat="1" applyBorder="1"/>
    <xf numFmtId="164" fontId="0" fillId="0" borderId="10" xfId="0" applyNumberFormat="1" applyBorder="1"/>
    <xf numFmtId="164" fontId="0" fillId="0" borderId="6" xfId="0" applyNumberFormat="1" applyBorder="1"/>
    <xf numFmtId="164" fontId="0" fillId="0" borderId="3" xfId="0" applyNumberFormat="1" applyBorder="1"/>
    <xf numFmtId="164" fontId="0" fillId="0" borderId="5" xfId="0" applyNumberFormat="1" applyBorder="1" applyAlignment="1">
      <alignment horizontal="left"/>
    </xf>
    <xf numFmtId="14" fontId="0" fillId="0" borderId="0" xfId="0" applyNumberFormat="1"/>
    <xf numFmtId="0" fontId="1" fillId="9" borderId="0" xfId="0" applyFont="1" applyFill="1"/>
    <xf numFmtId="0" fontId="0" fillId="9" borderId="0" xfId="0" applyFill="1"/>
    <xf numFmtId="0" fontId="1" fillId="7" borderId="2" xfId="0" applyFont="1" applyFill="1" applyBorder="1"/>
    <xf numFmtId="0" fontId="1" fillId="0" borderId="2" xfId="0" applyFont="1" applyBorder="1"/>
    <xf numFmtId="0" fontId="20" fillId="0" borderId="0" xfId="0" applyFont="1" applyAlignment="1">
      <alignment horizontal="center"/>
    </xf>
    <xf numFmtId="0" fontId="22" fillId="10" borderId="0" xfId="0" applyFont="1" applyFill="1"/>
    <xf numFmtId="0" fontId="0" fillId="10" borderId="0" xfId="0" applyFill="1"/>
    <xf numFmtId="0" fontId="22" fillId="10" borderId="2" xfId="0" applyFont="1" applyFill="1" applyBorder="1" applyAlignment="1">
      <alignment wrapText="1"/>
    </xf>
    <xf numFmtId="0" fontId="11" fillId="0" borderId="2" xfId="0" applyFont="1" applyBorder="1"/>
    <xf numFmtId="2" fontId="11" fillId="0" borderId="2" xfId="0" applyNumberFormat="1" applyFont="1" applyBorder="1"/>
    <xf numFmtId="0" fontId="11" fillId="10" borderId="2" xfId="0" applyFont="1" applyFill="1" applyBorder="1"/>
    <xf numFmtId="0" fontId="0" fillId="3" borderId="2" xfId="0" applyFill="1" applyBorder="1" applyProtection="1">
      <protection locked="0"/>
    </xf>
    <xf numFmtId="0" fontId="0" fillId="0" borderId="8" xfId="0" applyBorder="1" applyAlignment="1">
      <alignment wrapText="1"/>
    </xf>
    <xf numFmtId="0" fontId="0" fillId="3" borderId="46" xfId="0" applyFill="1" applyBorder="1" applyProtection="1">
      <protection locked="0"/>
    </xf>
    <xf numFmtId="0" fontId="2" fillId="5" borderId="11" xfId="0" applyFont="1" applyFill="1" applyBorder="1"/>
    <xf numFmtId="0" fontId="0" fillId="5" borderId="47" xfId="0" applyFill="1" applyBorder="1"/>
    <xf numFmtId="0" fontId="2" fillId="5" borderId="47" xfId="0" applyFont="1" applyFill="1" applyBorder="1"/>
    <xf numFmtId="0" fontId="2" fillId="5" borderId="37" xfId="0" applyFont="1" applyFill="1" applyBorder="1"/>
    <xf numFmtId="0" fontId="25" fillId="0" borderId="0" xfId="0" applyFont="1"/>
    <xf numFmtId="0" fontId="1" fillId="3" borderId="37" xfId="0" applyFont="1" applyFill="1" applyBorder="1" applyAlignment="1">
      <alignment horizontal="left"/>
    </xf>
    <xf numFmtId="2" fontId="1" fillId="0" borderId="2" xfId="0" applyNumberFormat="1" applyFont="1" applyBorder="1"/>
    <xf numFmtId="0" fontId="1" fillId="0" borderId="0" xfId="0" applyFont="1" applyAlignment="1">
      <alignment horizontal="center"/>
    </xf>
    <xf numFmtId="0" fontId="4" fillId="0" borderId="53" xfId="0" applyFont="1" applyBorder="1"/>
    <xf numFmtId="0" fontId="4" fillId="0" borderId="11" xfId="0" applyFont="1" applyBorder="1"/>
    <xf numFmtId="0" fontId="4" fillId="0" borderId="32" xfId="0" applyFont="1" applyBorder="1"/>
    <xf numFmtId="0" fontId="1" fillId="11" borderId="0" xfId="0" applyFont="1" applyFill="1"/>
    <xf numFmtId="0" fontId="0" fillId="11" borderId="0" xfId="0" applyFill="1"/>
    <xf numFmtId="0" fontId="2" fillId="11" borderId="0" xfId="0" applyFont="1" applyFill="1"/>
    <xf numFmtId="0" fontId="28" fillId="11" borderId="0" xfId="0" applyFont="1" applyFill="1"/>
    <xf numFmtId="0" fontId="0" fillId="11" borderId="0" xfId="0" applyFill="1" applyAlignment="1">
      <alignment horizontal="right"/>
    </xf>
    <xf numFmtId="0" fontId="11" fillId="0" borderId="2" xfId="0" applyFont="1" applyBorder="1" applyAlignment="1">
      <alignment horizontal="left" vertical="top" wrapText="1"/>
    </xf>
    <xf numFmtId="0" fontId="13" fillId="8" borderId="5" xfId="1" applyFont="1" applyFill="1" applyBorder="1" applyAlignment="1" applyProtection="1">
      <alignment horizontal="left"/>
    </xf>
    <xf numFmtId="0" fontId="13" fillId="8" borderId="10" xfId="1" applyFont="1" applyFill="1" applyBorder="1" applyAlignment="1" applyProtection="1">
      <alignment horizontal="left"/>
    </xf>
    <xf numFmtId="0" fontId="13" fillId="8" borderId="6" xfId="1" applyFont="1" applyFill="1" applyBorder="1" applyAlignment="1" applyProtection="1">
      <alignment horizontal="left"/>
    </xf>
    <xf numFmtId="0" fontId="9" fillId="9" borderId="5" xfId="1" applyFill="1" applyBorder="1" applyAlignment="1" applyProtection="1">
      <alignment horizontal="center"/>
    </xf>
    <xf numFmtId="0" fontId="9" fillId="9" borderId="10" xfId="1" applyFill="1" applyBorder="1" applyAlignment="1" applyProtection="1">
      <alignment horizontal="center"/>
    </xf>
    <xf numFmtId="0" fontId="9" fillId="9" borderId="6" xfId="1" applyFill="1" applyBorder="1" applyAlignment="1" applyProtection="1">
      <alignment horizontal="center"/>
    </xf>
    <xf numFmtId="0" fontId="11" fillId="0" borderId="50" xfId="0" applyFont="1" applyBorder="1" applyAlignment="1">
      <alignment horizontal="left" vertical="top" wrapText="1"/>
    </xf>
    <xf numFmtId="0" fontId="11" fillId="0" borderId="64" xfId="0" applyFont="1" applyBorder="1" applyAlignment="1">
      <alignment horizontal="left" vertical="top" wrapText="1"/>
    </xf>
    <xf numFmtId="0" fontId="11" fillId="0" borderId="48" xfId="0" applyFont="1" applyBorder="1" applyAlignment="1">
      <alignment horizontal="left" vertical="top" wrapText="1"/>
    </xf>
    <xf numFmtId="0" fontId="11" fillId="0" borderId="53" xfId="0" applyFont="1" applyBorder="1" applyAlignment="1">
      <alignment horizontal="left" vertical="top" wrapText="1"/>
    </xf>
    <xf numFmtId="0" fontId="11" fillId="0" borderId="65" xfId="0" applyFont="1" applyBorder="1" applyAlignment="1">
      <alignment horizontal="left" vertical="top" wrapText="1"/>
    </xf>
    <xf numFmtId="0" fontId="11" fillId="0" borderId="54" xfId="0" applyFont="1" applyBorder="1" applyAlignment="1">
      <alignment horizontal="left" vertical="top" wrapText="1"/>
    </xf>
    <xf numFmtId="0" fontId="15" fillId="8" borderId="7" xfId="1" applyFont="1" applyFill="1" applyBorder="1" applyAlignment="1" applyProtection="1">
      <alignment horizontal="center" vertical="center"/>
    </xf>
    <xf numFmtId="0" fontId="15" fillId="8" borderId="8" xfId="1" applyFont="1" applyFill="1" applyBorder="1" applyAlignment="1" applyProtection="1">
      <alignment horizontal="center" vertical="center"/>
    </xf>
    <xf numFmtId="0" fontId="15" fillId="8" borderId="9" xfId="1" applyFont="1" applyFill="1" applyBorder="1" applyAlignment="1" applyProtection="1">
      <alignment horizontal="center" vertical="center"/>
    </xf>
    <xf numFmtId="0" fontId="15" fillId="8" borderId="56" xfId="1" applyFont="1" applyFill="1" applyBorder="1" applyAlignment="1" applyProtection="1">
      <alignment horizontal="center" vertical="center"/>
    </xf>
    <xf numFmtId="0" fontId="15" fillId="8" borderId="66" xfId="1" applyFont="1" applyFill="1" applyBorder="1" applyAlignment="1" applyProtection="1">
      <alignment horizontal="center" vertical="center"/>
    </xf>
    <xf numFmtId="0" fontId="15" fillId="8" borderId="57" xfId="1" applyFont="1" applyFill="1" applyBorder="1" applyAlignment="1" applyProtection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1" fillId="0" borderId="11" xfId="0" applyFont="1" applyBorder="1"/>
    <xf numFmtId="0" fontId="21" fillId="0" borderId="47" xfId="0" applyFont="1" applyBorder="1"/>
    <xf numFmtId="0" fontId="21" fillId="0" borderId="37" xfId="0" applyFont="1" applyBorder="1"/>
    <xf numFmtId="166" fontId="21" fillId="0" borderId="11" xfId="2" applyNumberFormat="1" applyFont="1" applyBorder="1" applyAlignment="1"/>
    <xf numFmtId="166" fontId="21" fillId="0" borderId="47" xfId="2" applyNumberFormat="1" applyFont="1" applyBorder="1" applyAlignment="1"/>
    <xf numFmtId="166" fontId="21" fillId="0" borderId="37" xfId="2" applyNumberFormat="1" applyFont="1" applyBorder="1" applyAlignment="1"/>
    <xf numFmtId="166" fontId="21" fillId="0" borderId="2" xfId="2" applyNumberFormat="1" applyFont="1" applyBorder="1" applyAlignment="1"/>
    <xf numFmtId="0" fontId="18" fillId="10" borderId="0" xfId="0" applyFont="1" applyFill="1"/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2" xfId="0" applyFont="1" applyBorder="1"/>
    <xf numFmtId="0" fontId="0" fillId="0" borderId="2" xfId="0" applyBorder="1"/>
    <xf numFmtId="10" fontId="21" fillId="0" borderId="2" xfId="3" applyNumberFormat="1" applyFont="1" applyBorder="1" applyAlignment="1"/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51" xfId="0" applyFont="1" applyBorder="1"/>
    <xf numFmtId="0" fontId="0" fillId="0" borderId="0" xfId="0"/>
    <xf numFmtId="0" fontId="0" fillId="0" borderId="52" xfId="0" applyBorder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0" fillId="4" borderId="55" xfId="0" applyFill="1" applyBorder="1" applyAlignment="1">
      <alignment horizontal="center"/>
    </xf>
    <xf numFmtId="0" fontId="0" fillId="4" borderId="6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24" xfId="0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0" xfId="0" applyAlignment="1">
      <alignment horizontal="right"/>
    </xf>
    <xf numFmtId="0" fontId="0" fillId="4" borderId="19" xfId="0" applyFill="1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wrapText="1"/>
    </xf>
    <xf numFmtId="0" fontId="9" fillId="0" borderId="0" xfId="1" applyFill="1" applyBorder="1" applyAlignment="1" applyProtection="1">
      <alignment horizontal="left"/>
    </xf>
    <xf numFmtId="0" fontId="11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15" fontId="2" fillId="0" borderId="0" xfId="0" applyNumberFormat="1" applyFont="1" applyAlignment="1">
      <alignment horizontal="center"/>
    </xf>
    <xf numFmtId="0" fontId="15" fillId="8" borderId="5" xfId="1" applyFont="1" applyFill="1" applyBorder="1" applyAlignment="1" applyProtection="1">
      <alignment horizontal="center" vertical="center"/>
    </xf>
    <xf numFmtId="0" fontId="15" fillId="8" borderId="10" xfId="1" applyFont="1" applyFill="1" applyBorder="1" applyAlignment="1" applyProtection="1">
      <alignment horizontal="center" vertical="center"/>
    </xf>
    <xf numFmtId="0" fontId="15" fillId="8" borderId="6" xfId="1" applyFont="1" applyFill="1" applyBorder="1" applyAlignment="1" applyProtection="1">
      <alignment horizontal="center" vertical="center"/>
    </xf>
    <xf numFmtId="44" fontId="9" fillId="0" borderId="0" xfId="1" applyNumberFormat="1" applyFill="1" applyBorder="1" applyAlignment="1" applyProtection="1"/>
    <xf numFmtId="0" fontId="9" fillId="0" borderId="0" xfId="1" applyFill="1" applyBorder="1" applyAlignment="1" applyProtection="1"/>
    <xf numFmtId="0" fontId="22" fillId="10" borderId="0" xfId="0" applyFont="1" applyFill="1" applyAlignment="1">
      <alignment wrapText="1"/>
    </xf>
    <xf numFmtId="0" fontId="0" fillId="10" borderId="0" xfId="0" applyFill="1"/>
    <xf numFmtId="0" fontId="9" fillId="8" borderId="7" xfId="1" applyFill="1" applyBorder="1" applyAlignment="1" applyProtection="1">
      <alignment horizontal="center" vertical="center"/>
    </xf>
    <xf numFmtId="0" fontId="9" fillId="8" borderId="8" xfId="1" applyFill="1" applyBorder="1" applyAlignment="1" applyProtection="1">
      <alignment horizontal="center" vertical="center"/>
    </xf>
    <xf numFmtId="0" fontId="9" fillId="8" borderId="9" xfId="1" applyFill="1" applyBorder="1" applyAlignment="1" applyProtection="1">
      <alignment horizontal="center" vertical="center"/>
    </xf>
    <xf numFmtId="0" fontId="9" fillId="8" borderId="56" xfId="1" applyFill="1" applyBorder="1" applyAlignment="1" applyProtection="1">
      <alignment horizontal="center" vertical="center"/>
    </xf>
    <xf numFmtId="0" fontId="9" fillId="8" borderId="66" xfId="1" applyFill="1" applyBorder="1" applyAlignment="1" applyProtection="1">
      <alignment horizontal="center" vertical="center"/>
    </xf>
    <xf numFmtId="0" fontId="9" fillId="8" borderId="57" xfId="1" applyFill="1" applyBorder="1" applyAlignment="1" applyProtection="1">
      <alignment horizontal="center" vertical="center"/>
    </xf>
    <xf numFmtId="0" fontId="0" fillId="0" borderId="64" xfId="0" applyBorder="1" applyAlignment="1">
      <alignment horizontal="center" vertical="center"/>
    </xf>
    <xf numFmtId="0" fontId="4" fillId="0" borderId="53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0" fillId="0" borderId="3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66" xfId="0" applyBorder="1" applyAlignment="1">
      <alignment horizontal="center" wrapText="1"/>
    </xf>
    <xf numFmtId="0" fontId="11" fillId="0" borderId="36" xfId="0" applyFont="1" applyBorder="1" applyAlignment="1">
      <alignment horizontal="right"/>
    </xf>
    <xf numFmtId="0" fontId="9" fillId="8" borderId="5" xfId="1" applyFill="1" applyBorder="1" applyAlignment="1" applyProtection="1">
      <alignment horizontal="center" vertical="center"/>
    </xf>
    <xf numFmtId="0" fontId="9" fillId="8" borderId="10" xfId="1" applyFill="1" applyBorder="1" applyAlignment="1" applyProtection="1">
      <alignment horizontal="center" vertical="center"/>
    </xf>
    <xf numFmtId="0" fontId="9" fillId="8" borderId="6" xfId="1" applyFill="1" applyBorder="1" applyAlignment="1" applyProtection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65" xfId="0" applyBorder="1" applyAlignment="1">
      <alignment horizontal="center" wrapText="1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27" xfId="0" applyBorder="1" applyAlignment="1">
      <alignment horizontal="left"/>
    </xf>
    <xf numFmtId="0" fontId="0" fillId="0" borderId="39" xfId="0" applyBorder="1" applyAlignment="1">
      <alignment horizontal="left"/>
    </xf>
    <xf numFmtId="0" fontId="4" fillId="0" borderId="32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0" fillId="4" borderId="56" xfId="0" applyFill="1" applyBorder="1" applyAlignment="1">
      <alignment horizontal="center"/>
    </xf>
    <xf numFmtId="0" fontId="0" fillId="4" borderId="57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67" xfId="0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21" xfId="0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44" fontId="9" fillId="8" borderId="5" xfId="1" applyNumberFormat="1" applyFill="1" applyBorder="1" applyAlignment="1" applyProtection="1">
      <alignment horizontal="center"/>
    </xf>
    <xf numFmtId="44" fontId="9" fillId="8" borderId="10" xfId="1" applyNumberFormat="1" applyFill="1" applyBorder="1" applyAlignment="1" applyProtection="1">
      <alignment horizontal="center"/>
    </xf>
    <xf numFmtId="44" fontId="9" fillId="8" borderId="6" xfId="1" applyNumberFormat="1" applyFill="1" applyBorder="1" applyAlignment="1" applyProtection="1">
      <alignment horizontal="center"/>
    </xf>
    <xf numFmtId="0" fontId="9" fillId="0" borderId="0" xfId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9" fillId="8" borderId="5" xfId="1" applyFill="1" applyBorder="1" applyAlignment="1" applyProtection="1">
      <alignment horizontal="center"/>
    </xf>
    <xf numFmtId="0" fontId="9" fillId="8" borderId="10" xfId="1" applyFill="1" applyBorder="1" applyAlignment="1" applyProtection="1">
      <alignment horizontal="center"/>
    </xf>
    <xf numFmtId="0" fontId="9" fillId="8" borderId="6" xfId="1" applyFill="1" applyBorder="1" applyAlignment="1" applyProtection="1">
      <alignment horizontal="center"/>
    </xf>
  </cellXfs>
  <cellStyles count="4">
    <cellStyle name="Comma" xfId="2" builtinId="3"/>
    <cellStyle name="Hyperlink" xfId="1" builtinId="8"/>
    <cellStyle name="Normal" xfId="0" builtinId="0"/>
    <cellStyle name="Percent" xfId="3" builtinId="5"/>
  </cellStyles>
  <dxfs count="157">
    <dxf>
      <fill>
        <patternFill>
          <bgColor indexed="3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73"/>
  <sheetViews>
    <sheetView showGridLines="0" topLeftCell="A4" zoomScale="75" workbookViewId="0">
      <selection activeCell="A30" sqref="A30"/>
    </sheetView>
  </sheetViews>
  <sheetFormatPr defaultRowHeight="12.5" x14ac:dyDescent="0.25"/>
  <sheetData>
    <row r="1" spans="1:20" ht="20" x14ac:dyDescent="0.4">
      <c r="A1" s="165" t="s">
        <v>0</v>
      </c>
      <c r="P1" s="165" t="s">
        <v>1</v>
      </c>
    </row>
    <row r="2" spans="1:20" x14ac:dyDescent="0.25">
      <c r="P2" s="170"/>
      <c r="Q2" s="170"/>
      <c r="R2" s="170"/>
      <c r="S2" s="170"/>
      <c r="T2" s="170"/>
    </row>
    <row r="3" spans="1:20" ht="15.5" x14ac:dyDescent="0.35">
      <c r="A3" s="163" t="s">
        <v>2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P3" s="254" t="s">
        <v>3</v>
      </c>
      <c r="Q3" s="254"/>
      <c r="R3" s="254"/>
      <c r="S3" s="254"/>
      <c r="T3" s="254"/>
    </row>
    <row r="4" spans="1:20" ht="15.5" x14ac:dyDescent="0.35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P4" s="254"/>
      <c r="Q4" s="254"/>
      <c r="R4" s="254"/>
      <c r="S4" s="254"/>
      <c r="T4" s="254"/>
    </row>
    <row r="5" spans="1:20" ht="15.5" x14ac:dyDescent="0.35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P5" s="254" t="s">
        <v>4</v>
      </c>
      <c r="Q5" s="254"/>
      <c r="R5" s="254"/>
      <c r="S5" s="254"/>
      <c r="T5" s="254"/>
    </row>
    <row r="6" spans="1:20" ht="15.5" x14ac:dyDescent="0.35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P6" s="254"/>
      <c r="Q6" s="254"/>
      <c r="R6" s="254"/>
      <c r="S6" s="254"/>
      <c r="T6" s="254"/>
    </row>
    <row r="7" spans="1:20" ht="15.5" x14ac:dyDescent="0.35">
      <c r="A7" s="163" t="s">
        <v>5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/>
      <c r="M7" s="163"/>
      <c r="N7" s="163"/>
      <c r="P7" s="254" t="s">
        <v>6</v>
      </c>
      <c r="Q7" s="254"/>
      <c r="R7" s="254"/>
      <c r="S7" s="254"/>
      <c r="T7" s="254"/>
    </row>
    <row r="8" spans="1:20" ht="15.5" x14ac:dyDescent="0.35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P8" s="254"/>
      <c r="Q8" s="254"/>
      <c r="R8" s="254"/>
      <c r="S8" s="254"/>
      <c r="T8" s="254"/>
    </row>
    <row r="9" spans="1:20" ht="15.5" x14ac:dyDescent="0.35">
      <c r="A9" s="163" t="s">
        <v>7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P9" s="254" t="s">
        <v>8</v>
      </c>
      <c r="Q9" s="254"/>
      <c r="R9" s="254"/>
      <c r="S9" s="254"/>
      <c r="T9" s="254"/>
    </row>
    <row r="10" spans="1:20" ht="15.5" x14ac:dyDescent="0.35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P10" s="254"/>
      <c r="Q10" s="254"/>
      <c r="R10" s="254"/>
      <c r="S10" s="254"/>
      <c r="T10" s="254"/>
    </row>
    <row r="11" spans="1:20" ht="15.5" x14ac:dyDescent="0.35">
      <c r="A11" s="163" t="s">
        <v>9</v>
      </c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P11" s="254" t="s">
        <v>10</v>
      </c>
      <c r="Q11" s="254"/>
      <c r="R11" s="254"/>
      <c r="S11" s="254"/>
      <c r="T11" s="254"/>
    </row>
    <row r="12" spans="1:20" ht="15.5" x14ac:dyDescent="0.35">
      <c r="A12" s="163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P12" s="254"/>
      <c r="Q12" s="254"/>
      <c r="R12" s="254"/>
      <c r="S12" s="254"/>
      <c r="T12" s="254"/>
    </row>
    <row r="13" spans="1:20" ht="15.5" x14ac:dyDescent="0.35">
      <c r="A13" s="163" t="s">
        <v>11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P13" s="254" t="s">
        <v>12</v>
      </c>
      <c r="Q13" s="254"/>
      <c r="R13" s="254"/>
      <c r="S13" s="254"/>
      <c r="T13" s="254"/>
    </row>
    <row r="14" spans="1:20" ht="15.5" x14ac:dyDescent="0.35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P14" s="254"/>
      <c r="Q14" s="254"/>
      <c r="R14" s="254"/>
      <c r="S14" s="254"/>
      <c r="T14" s="254"/>
    </row>
    <row r="15" spans="1:20" ht="15.5" x14ac:dyDescent="0.35">
      <c r="A15" s="163" t="s">
        <v>13</v>
      </c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P15" s="254" t="s">
        <v>14</v>
      </c>
      <c r="Q15" s="254"/>
      <c r="R15" s="254"/>
      <c r="S15" s="254"/>
      <c r="T15" s="254"/>
    </row>
    <row r="16" spans="1:20" ht="15.5" x14ac:dyDescent="0.35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P16" s="254"/>
      <c r="Q16" s="254"/>
      <c r="R16" s="254"/>
      <c r="S16" s="254"/>
      <c r="T16" s="254"/>
    </row>
    <row r="17" spans="1:20" ht="15.5" x14ac:dyDescent="0.35">
      <c r="A17" s="163" t="s">
        <v>15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P17" s="254" t="s">
        <v>16</v>
      </c>
      <c r="Q17" s="254"/>
      <c r="R17" s="254"/>
      <c r="S17" s="254"/>
      <c r="T17" s="254"/>
    </row>
    <row r="18" spans="1:20" ht="15.5" x14ac:dyDescent="0.35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P18" s="254"/>
      <c r="Q18" s="254"/>
      <c r="R18" s="254"/>
      <c r="S18" s="254"/>
      <c r="T18" s="254"/>
    </row>
    <row r="19" spans="1:20" ht="15.5" x14ac:dyDescent="0.35">
      <c r="A19" s="163" t="s">
        <v>17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P19" s="254" t="s">
        <v>18</v>
      </c>
      <c r="Q19" s="254"/>
      <c r="R19" s="254"/>
      <c r="S19" s="254"/>
      <c r="T19" s="254"/>
    </row>
    <row r="20" spans="1:20" ht="15.5" x14ac:dyDescent="0.35">
      <c r="A20" s="163"/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P20" s="254"/>
      <c r="Q20" s="254"/>
      <c r="R20" s="254"/>
      <c r="S20" s="254"/>
      <c r="T20" s="254"/>
    </row>
    <row r="21" spans="1:20" ht="15.5" x14ac:dyDescent="0.35">
      <c r="A21" s="163" t="s">
        <v>19</v>
      </c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P21" s="254" t="s">
        <v>20</v>
      </c>
      <c r="Q21" s="254"/>
      <c r="R21" s="254"/>
      <c r="S21" s="254"/>
      <c r="T21" s="254"/>
    </row>
    <row r="22" spans="1:20" ht="15.5" x14ac:dyDescent="0.35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P22" s="254"/>
      <c r="Q22" s="254"/>
      <c r="R22" s="254"/>
      <c r="S22" s="254"/>
      <c r="T22" s="254"/>
    </row>
    <row r="23" spans="1:20" ht="15.5" x14ac:dyDescent="0.35">
      <c r="A23" s="163" t="s">
        <v>21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P23" s="261" t="s">
        <v>22</v>
      </c>
      <c r="Q23" s="262"/>
      <c r="R23" s="262"/>
      <c r="S23" s="262"/>
      <c r="T23" s="263"/>
    </row>
    <row r="24" spans="1:20" ht="16" thickBot="1" x14ac:dyDescent="0.4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P24" s="264"/>
      <c r="Q24" s="265"/>
      <c r="R24" s="265"/>
      <c r="S24" s="265"/>
      <c r="T24" s="266"/>
    </row>
    <row r="25" spans="1:20" ht="16" thickBot="1" x14ac:dyDescent="0.4">
      <c r="A25" s="163" t="s">
        <v>23</v>
      </c>
      <c r="B25" s="163"/>
      <c r="C25" s="163"/>
      <c r="D25" s="163"/>
      <c r="E25" s="163"/>
      <c r="F25" s="163"/>
      <c r="G25" s="163"/>
      <c r="J25" s="258"/>
      <c r="K25" s="259"/>
      <c r="L25" s="259"/>
      <c r="M25" s="259"/>
      <c r="N25" s="260"/>
      <c r="P25" s="254" t="s">
        <v>24</v>
      </c>
      <c r="Q25" s="254"/>
      <c r="R25" s="254"/>
      <c r="S25" s="254"/>
      <c r="T25" s="254"/>
    </row>
    <row r="26" spans="1:20" ht="15.5" x14ac:dyDescent="0.35">
      <c r="A26" s="163"/>
      <c r="B26" s="163"/>
      <c r="C26" s="163"/>
      <c r="D26" s="163"/>
      <c r="E26" s="163"/>
      <c r="F26" s="163"/>
      <c r="G26" s="163"/>
      <c r="M26" s="163"/>
      <c r="N26" s="163"/>
      <c r="P26" s="254"/>
      <c r="Q26" s="254"/>
      <c r="R26" s="254"/>
      <c r="S26" s="254"/>
      <c r="T26" s="254"/>
    </row>
    <row r="27" spans="1:20" ht="15.5" x14ac:dyDescent="0.35">
      <c r="A27" s="195"/>
      <c r="B27" s="195"/>
      <c r="C27" s="195"/>
      <c r="D27" s="195"/>
      <c r="E27" s="195"/>
      <c r="F27" s="163"/>
      <c r="G27" s="163"/>
      <c r="H27" s="163"/>
      <c r="I27" s="163"/>
      <c r="J27" s="163"/>
      <c r="K27" s="163"/>
      <c r="L27" s="163"/>
      <c r="M27" s="163"/>
      <c r="N27" s="163"/>
      <c r="Q27" s="163"/>
      <c r="R27" s="163"/>
      <c r="S27" s="163"/>
    </row>
    <row r="28" spans="1:20" ht="15.5" x14ac:dyDescent="0.35">
      <c r="A28" s="242" t="s">
        <v>25</v>
      </c>
      <c r="B28" s="242"/>
      <c r="C28" s="242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Q28" s="163"/>
      <c r="R28" s="163"/>
      <c r="S28" s="163"/>
    </row>
    <row r="29" spans="1:20" ht="15.5" x14ac:dyDescent="0.35">
      <c r="A29" s="242" t="s">
        <v>26</v>
      </c>
      <c r="B29" s="242"/>
      <c r="C29" s="242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Q29" s="163"/>
      <c r="R29" s="163"/>
      <c r="S29" s="163"/>
    </row>
    <row r="30" spans="1:20" ht="15.5" x14ac:dyDescent="0.35">
      <c r="A30" s="242"/>
      <c r="B30" s="242"/>
      <c r="C30" s="242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Q30" s="163"/>
      <c r="R30" s="163"/>
      <c r="S30" s="163"/>
    </row>
    <row r="31" spans="1:20" ht="15.5" x14ac:dyDescent="0.35">
      <c r="A31" s="242"/>
      <c r="B31" s="242"/>
      <c r="C31" s="242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Q31" s="163"/>
      <c r="R31" s="163"/>
      <c r="S31" s="163"/>
    </row>
    <row r="32" spans="1:20" ht="15.5" x14ac:dyDescent="0.35">
      <c r="A32" s="242" t="s">
        <v>27</v>
      </c>
      <c r="B32" s="242"/>
      <c r="C32" s="242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Q32" s="163"/>
      <c r="R32" s="163"/>
      <c r="S32" s="163"/>
    </row>
    <row r="33" spans="1:19" ht="15.5" x14ac:dyDescent="0.3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Q33" s="163"/>
      <c r="R33" s="163"/>
      <c r="S33" s="163"/>
    </row>
    <row r="34" spans="1:19" ht="20" x14ac:dyDescent="0.4">
      <c r="A34" s="165" t="s">
        <v>28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</row>
    <row r="35" spans="1:19" ht="15.5" x14ac:dyDescent="0.35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</row>
    <row r="36" spans="1:19" ht="15.5" x14ac:dyDescent="0.35">
      <c r="A36" s="163" t="s">
        <v>29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</row>
    <row r="37" spans="1:19" ht="15.5" x14ac:dyDescent="0.35">
      <c r="A37" s="163" t="s">
        <v>30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</row>
    <row r="38" spans="1:19" ht="15.5" x14ac:dyDescent="0.35">
      <c r="A38" s="163" t="s">
        <v>31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</row>
    <row r="39" spans="1:19" ht="15.5" x14ac:dyDescent="0.35">
      <c r="A39" s="163" t="s">
        <v>32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</row>
    <row r="40" spans="1:19" ht="16" thickBot="1" x14ac:dyDescent="0.4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</row>
    <row r="41" spans="1:19" ht="15.5" x14ac:dyDescent="0.35">
      <c r="A41" s="267" t="s">
        <v>33</v>
      </c>
      <c r="B41" s="268"/>
      <c r="C41" s="268"/>
      <c r="D41" s="268"/>
      <c r="E41" s="269"/>
      <c r="F41" s="163"/>
      <c r="G41" s="163"/>
      <c r="H41" s="163"/>
      <c r="I41" s="163"/>
      <c r="J41" s="163"/>
      <c r="K41" s="163"/>
      <c r="L41" s="163"/>
      <c r="M41" s="163"/>
      <c r="N41" s="163"/>
    </row>
    <row r="42" spans="1:19" ht="16" thickBot="1" x14ac:dyDescent="0.4">
      <c r="A42" s="270"/>
      <c r="B42" s="271"/>
      <c r="C42" s="271"/>
      <c r="D42" s="271"/>
      <c r="E42" s="272"/>
      <c r="F42" s="163"/>
      <c r="G42" s="163"/>
      <c r="H42" s="163"/>
      <c r="I42" s="163"/>
      <c r="J42" s="163"/>
      <c r="K42" s="163"/>
      <c r="L42" s="163"/>
      <c r="M42" s="163"/>
      <c r="N42" s="163"/>
    </row>
    <row r="43" spans="1:19" ht="15.5" x14ac:dyDescent="0.35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</row>
    <row r="44" spans="1:19" ht="15.5" x14ac:dyDescent="0.35">
      <c r="A44" s="163" t="s">
        <v>34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</row>
    <row r="45" spans="1:19" ht="15.5" x14ac:dyDescent="0.35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  <c r="L45" s="163"/>
      <c r="M45" s="163"/>
      <c r="N45" s="163"/>
    </row>
    <row r="46" spans="1:19" ht="15.5" x14ac:dyDescent="0.3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/>
      <c r="N46" s="163"/>
    </row>
    <row r="47" spans="1:19" ht="15.5" x14ac:dyDescent="0.35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63"/>
    </row>
    <row r="48" spans="1:19" ht="15.5" x14ac:dyDescent="0.35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</row>
    <row r="49" spans="1:5" ht="15.5" x14ac:dyDescent="0.35">
      <c r="A49" s="163"/>
      <c r="B49" s="163"/>
      <c r="C49" s="163"/>
      <c r="D49" s="163"/>
      <c r="E49" s="163"/>
    </row>
    <row r="50" spans="1:5" ht="15.5" x14ac:dyDescent="0.35">
      <c r="A50" s="163"/>
      <c r="B50" s="163"/>
      <c r="C50" s="163"/>
      <c r="D50" s="163"/>
      <c r="E50" s="163"/>
    </row>
    <row r="68" spans="1:6" ht="15.5" x14ac:dyDescent="0.35">
      <c r="F68" s="163"/>
    </row>
    <row r="69" spans="1:6" ht="15.5" x14ac:dyDescent="0.35">
      <c r="F69" s="163"/>
    </row>
    <row r="70" spans="1:6" ht="16" thickBot="1" x14ac:dyDescent="0.4">
      <c r="A70" s="163"/>
      <c r="B70" s="163"/>
      <c r="C70" s="163"/>
      <c r="D70" s="163"/>
      <c r="E70" s="163"/>
      <c r="F70" s="163"/>
    </row>
    <row r="71" spans="1:6" ht="16" thickBot="1" x14ac:dyDescent="0.4">
      <c r="A71" s="255" t="s">
        <v>35</v>
      </c>
      <c r="B71" s="256"/>
      <c r="C71" s="256"/>
      <c r="D71" s="256"/>
      <c r="E71" s="257"/>
      <c r="F71" s="163"/>
    </row>
    <row r="72" spans="1:6" ht="15.5" x14ac:dyDescent="0.35">
      <c r="A72" s="163"/>
      <c r="B72" s="163"/>
      <c r="C72" s="163"/>
      <c r="D72" s="163"/>
      <c r="E72" s="163"/>
    </row>
    <row r="73" spans="1:6" ht="15.5" x14ac:dyDescent="0.35">
      <c r="A73" s="163"/>
      <c r="B73" s="163"/>
      <c r="C73" s="163"/>
      <c r="D73" s="163"/>
      <c r="E73" s="163"/>
    </row>
  </sheetData>
  <sheetProtection sheet="1" objects="1" scenarios="1"/>
  <protectedRanges>
    <protectedRange sqref="L7" name="INPUT 1"/>
  </protectedRanges>
  <mergeCells count="15">
    <mergeCell ref="P25:T26"/>
    <mergeCell ref="A71:E71"/>
    <mergeCell ref="J25:N25"/>
    <mergeCell ref="P3:T4"/>
    <mergeCell ref="P23:T24"/>
    <mergeCell ref="P17:T18"/>
    <mergeCell ref="P19:T20"/>
    <mergeCell ref="P21:T22"/>
    <mergeCell ref="P5:T6"/>
    <mergeCell ref="P7:T8"/>
    <mergeCell ref="P9:T10"/>
    <mergeCell ref="P11:T12"/>
    <mergeCell ref="P13:T14"/>
    <mergeCell ref="P15:T16"/>
    <mergeCell ref="A41:E42"/>
  </mergeCells>
  <phoneticPr fontId="10" type="noConversion"/>
  <hyperlinks>
    <hyperlink ref="A71" location="'Stage 3'!A1" display="MOVE TO STAGE 3"/>
    <hyperlink ref="A71:E71" location="'Instructions Rules'!A1" display="BACK TO TOP"/>
    <hyperlink ref="A41" location="'Stage 3'!A1" display="MOVE TO STAGE 3"/>
    <hyperlink ref="A41:E42" location="'Basic Input'!A1" display="MOVE TO BASIC INPUT FORM"/>
  </hyperlink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9.54296875" customWidth="1"/>
    <col min="25" max="25" width="4.4531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" customWidth="1"/>
    <col min="43" max="43" width="11.453125" customWidth="1"/>
    <col min="44" max="44" width="16.453125" customWidth="1"/>
    <col min="45" max="45" width="211.36328125" customWidth="1"/>
    <col min="50" max="50" width="214.453125" customWidth="1"/>
    <col min="51" max="51" width="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3.54296875" customWidth="1"/>
    <col min="67" max="67" width="9.6328125" customWidth="1"/>
    <col min="68" max="68" width="6.9062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108</v>
      </c>
      <c r="J1" s="85" t="s">
        <v>37</v>
      </c>
      <c r="K1" s="319">
        <f>'Basic Input'!C2</f>
        <v>45064</v>
      </c>
      <c r="L1" s="319"/>
      <c r="Z1" s="10" t="s">
        <v>248</v>
      </c>
      <c r="AQ1" s="33"/>
      <c r="AZ1" s="10" t="s">
        <v>126</v>
      </c>
      <c r="BE1" s="34" t="str">
        <f>IF(AT5="T","COMPLETE THIS FORM","YOU HAVE NOT SELECTED TO COMPLETE THIS FORM")</f>
        <v>YOU HAVE NOT SELECTED TO COMPLETE THIS FORM</v>
      </c>
      <c r="BR1" s="10" t="s">
        <v>127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249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R2" s="36" t="s">
        <v>108</v>
      </c>
      <c r="CB2" s="345" t="s">
        <v>131</v>
      </c>
      <c r="CC2" s="346"/>
      <c r="CD2" s="346"/>
      <c r="CE2" s="347"/>
    </row>
    <row r="3" spans="1:105" ht="18.5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23"/>
      <c r="P3" s="323"/>
      <c r="Q3" s="323"/>
      <c r="R3" s="323"/>
      <c r="S3" s="323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0</v>
      </c>
      <c r="AJ3" s="163"/>
      <c r="AK3" s="163"/>
      <c r="AL3" s="352" t="str">
        <f>IF(AQ5="n","MOVE TO EXCLUDE CANDIDATE FORM",IF(AQ5="y","MOVE TO TRANSFER OF SURPLUS VOTES FORM",0))</f>
        <v>MOVE TO EXCLUDE CANDIDATE FORM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L3" s="114"/>
      <c r="BR3" s="81" t="s">
        <v>133</v>
      </c>
      <c r="BS3" s="82"/>
      <c r="BT3" s="348" t="s">
        <v>48</v>
      </c>
      <c r="BU3" s="349"/>
      <c r="BV3" s="349"/>
      <c r="BW3" s="349"/>
      <c r="BX3" s="349"/>
      <c r="BY3" s="349"/>
      <c r="BZ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250</v>
      </c>
      <c r="P4" s="346"/>
      <c r="Q4" s="346"/>
      <c r="R4" s="346"/>
      <c r="S4" s="347"/>
      <c r="U4" s="311" t="str">
        <f>IF(Q33="ERROR","DO NOT MOVE TO NEXT STAGE","OK TO MOVE TO NEXT STAGE")</f>
        <v>OK TO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 t="s">
        <v>226</v>
      </c>
      <c r="AT5" s="7" t="str">
        <f>IF(AQ5=0,0,IF(AQ5="Y","T","E"))</f>
        <v>E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IF(C11=0,0,IF(O11=0,"Excluded",0))</f>
        <v>0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27" t="s">
        <v>251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Exclude</v>
      </c>
      <c r="AR6" s="302"/>
      <c r="AS6" s="181"/>
      <c r="AT6" s="91"/>
      <c r="AU6" s="91"/>
      <c r="AW6" s="33"/>
      <c r="AX6" s="33"/>
      <c r="AZ6" s="36" t="s">
        <v>108</v>
      </c>
      <c r="BA6" s="245"/>
      <c r="BE6" s="61" t="str">
        <f>'Verification of Boxes'!J11</f>
        <v>FLYNN</v>
      </c>
      <c r="BF6" s="64"/>
      <c r="BG6" s="100">
        <f t="shared" si="0"/>
        <v>0</v>
      </c>
      <c r="BH6" s="150"/>
      <c r="BI6" s="5" t="str">
        <f t="shared" ref="BI6:BI24" si="1">IF(A12&lt;&gt;0,A12,0)</f>
        <v>Excluded</v>
      </c>
      <c r="BJ6" s="5">
        <f t="shared" ref="BJ6:BJ24" si="2">IF(C12=0,0,IF(O12=0,"Excluded",0))</f>
        <v>0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>
        <v>0.06</v>
      </c>
      <c r="BY6" s="122" t="s">
        <v>153</v>
      </c>
      <c r="BZ6" s="65">
        <v>0.03</v>
      </c>
      <c r="CA6" s="122" t="s">
        <v>153</v>
      </c>
      <c r="CB6" s="65">
        <v>0.02</v>
      </c>
      <c r="CC6" s="122" t="s">
        <v>153</v>
      </c>
      <c r="CD6" s="65"/>
      <c r="CE6" s="204">
        <f>BS29+BU29+BW29+BY29+CA29+CC29</f>
        <v>700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IF($AT5=0,0,IF($AT5="T",$AZ7,$BR4))</f>
        <v>Exclude</v>
      </c>
      <c r="Q7" s="362"/>
      <c r="R7" s="309"/>
      <c r="S7" s="310"/>
      <c r="T7" s="309"/>
      <c r="U7" s="310"/>
      <c r="V7" s="309"/>
      <c r="W7" s="310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EWING</v>
      </c>
      <c r="G8" s="364"/>
      <c r="H8" s="359" t="str">
        <f>'Stage 3'!H8:I8</f>
        <v xml:space="preserve"> MCEVOY</v>
      </c>
      <c r="I8" s="360"/>
      <c r="J8" s="359" t="str">
        <f>'Stage 4'!J8:K8</f>
        <v>GREHAN</v>
      </c>
      <c r="K8" s="360"/>
      <c r="L8" s="359" t="str">
        <f>'Stage 5'!L8:M8</f>
        <v>GIVAN</v>
      </c>
      <c r="M8" s="360"/>
      <c r="N8" s="359" t="str">
        <f>'Stage 6'!N8:O8</f>
        <v>FRENCH</v>
      </c>
      <c r="O8" s="360"/>
      <c r="P8" s="361" t="str">
        <f>IF($P7="Transfer",$BA8,$BT3)</f>
        <v>FLYNN</v>
      </c>
      <c r="Q8" s="362"/>
      <c r="R8" s="303"/>
      <c r="S8" s="304"/>
      <c r="T8" s="303"/>
      <c r="U8" s="304"/>
      <c r="V8" s="303"/>
      <c r="W8" s="304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GIVAN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EWING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115" t="s">
        <v>112</v>
      </c>
      <c r="W9" s="116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Exclude lowest candidate(s)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 t="str">
        <f t="shared" ref="BN9:BN27" si="11">IF(A12&lt;&gt;0,A12,0)</f>
        <v>Excluded</v>
      </c>
      <c r="BO9" s="7">
        <f t="shared" si="3"/>
        <v>671.09</v>
      </c>
      <c r="BP9" s="66" t="s">
        <v>144</v>
      </c>
      <c r="BR9" s="9" t="str">
        <f>'Verification of Boxes'!J11</f>
        <v>FLYNN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113</v>
      </c>
      <c r="B10" s="16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KENNEDY</v>
      </c>
      <c r="BF10" s="64"/>
      <c r="BG10" s="100">
        <f t="shared" si="0"/>
        <v>0</v>
      </c>
      <c r="BH10" s="150"/>
      <c r="BI10" s="5" t="str">
        <f t="shared" si="1"/>
        <v>Elected</v>
      </c>
      <c r="BJ10" s="5">
        <f t="shared" si="2"/>
        <v>0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FRENCH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6'!A11&lt;&gt;0,'Stage 6'!A11,IF(Q11&gt;=$M$3,"Elected",IF(BP8&lt;&gt;0,"Excluded",0)))</f>
        <v>Elected</v>
      </c>
      <c r="B11" s="235">
        <f>'Stage 6'!B11</f>
        <v>1</v>
      </c>
      <c r="C11" s="155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>'Stage 3'!H11</f>
        <v>0</v>
      </c>
      <c r="I11" s="135">
        <f>'Stage 3'!I11</f>
        <v>1071</v>
      </c>
      <c r="J11" s="71">
        <f>'Stage 4'!J11</f>
        <v>0</v>
      </c>
      <c r="K11" s="135">
        <f>'Stage 4'!K11</f>
        <v>1071</v>
      </c>
      <c r="L11" s="71">
        <f>'Stage 5'!L11</f>
        <v>0</v>
      </c>
      <c r="M11" s="135">
        <f>'Stage 5'!M11</f>
        <v>1071</v>
      </c>
      <c r="N11" s="71">
        <f>'Stage 6'!N11</f>
        <v>0</v>
      </c>
      <c r="O11" s="135">
        <f>'Stage 6'!O11</f>
        <v>1071</v>
      </c>
      <c r="P11" s="71">
        <f t="shared" ref="P11:P30" si="12">IF($C11&lt;&gt;0,$BK49,0)</f>
        <v>0</v>
      </c>
      <c r="Q11" s="27">
        <f t="shared" ref="Q11:Q31" si="13">IF(P$8=0,0,O11+P11)</f>
        <v>1071</v>
      </c>
      <c r="R11" s="71"/>
      <c r="S11" s="27">
        <f t="shared" ref="S11:S31" si="14">IF(R$8=0,0,Q11+R11)</f>
        <v>0</v>
      </c>
      <c r="T11" s="71"/>
      <c r="U11" s="27">
        <f t="shared" ref="U11:U31" si="15">IF(T$8=0,0,S11+T11)</f>
        <v>0</v>
      </c>
      <c r="V11" s="69"/>
      <c r="W11" s="39">
        <f t="shared" ref="W11:W31" si="16">IF(V$8=0,0,U11+V11)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6'!A12&lt;&gt;0,'Stage 6'!A12,IF(Q12&gt;=$M$3,"Elected",IF(BP9&lt;&gt;0,"Excluded",0)))</f>
        <v>Excluded</v>
      </c>
      <c r="B12" s="235">
        <f>'Stage 6'!B12</f>
        <v>0</v>
      </c>
      <c r="C12" s="119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>'Stage 3'!H12</f>
        <v>1</v>
      </c>
      <c r="I12" s="135">
        <f>'Stage 3'!I12</f>
        <v>494.42</v>
      </c>
      <c r="J12" s="71">
        <f>'Stage 4'!J12</f>
        <v>0.48</v>
      </c>
      <c r="K12" s="135">
        <f>'Stage 4'!K12</f>
        <v>494.90000000000003</v>
      </c>
      <c r="L12" s="71">
        <f>'Stage 5'!L12</f>
        <v>0.04</v>
      </c>
      <c r="M12" s="135">
        <f>'Stage 5'!M12</f>
        <v>494.94000000000005</v>
      </c>
      <c r="N12" s="71">
        <f>'Stage 6'!N12</f>
        <v>176.15</v>
      </c>
      <c r="O12" s="135">
        <f>'Stage 6'!O12</f>
        <v>671.09</v>
      </c>
      <c r="P12" s="71">
        <f t="shared" si="12"/>
        <v>-671.09</v>
      </c>
      <c r="Q12" s="27">
        <f t="shared" si="13"/>
        <v>0</v>
      </c>
      <c r="R12" s="71"/>
      <c r="S12" s="27">
        <f t="shared" si="14"/>
        <v>0</v>
      </c>
      <c r="T12" s="71"/>
      <c r="U12" s="27">
        <f t="shared" si="15"/>
        <v>0</v>
      </c>
      <c r="V12" s="69"/>
      <c r="W12" s="39">
        <f t="shared" si="16"/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MITCHELL</v>
      </c>
      <c r="BF12" s="64"/>
      <c r="BG12" s="100">
        <f t="shared" si="0"/>
        <v>0</v>
      </c>
      <c r="BH12" s="150"/>
      <c r="BI12" s="5">
        <f t="shared" si="1"/>
        <v>0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6'!A13&lt;&gt;0,'Stage 6'!A13,IF(Q13&gt;=$M$3,"Elected",IF(BP10&lt;&gt;0,"Excluded",0)))</f>
        <v>Excluded</v>
      </c>
      <c r="B13" s="235">
        <f>'Stage 6'!B13</f>
        <v>0</v>
      </c>
      <c r="C13" s="119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>'Stage 3'!H13</f>
        <v>4</v>
      </c>
      <c r="I13" s="135">
        <f>'Stage 3'!I13</f>
        <v>476.42</v>
      </c>
      <c r="J13" s="71">
        <f>'Stage 4'!J13</f>
        <v>0.89999999999999991</v>
      </c>
      <c r="K13" s="135">
        <f>'Stage 4'!K13</f>
        <v>477.32</v>
      </c>
      <c r="L13" s="71">
        <f>'Stage 5'!L13</f>
        <v>0.02</v>
      </c>
      <c r="M13" s="135">
        <f>'Stage 5'!M13</f>
        <v>477.34</v>
      </c>
      <c r="N13" s="71">
        <f>'Stage 6'!N13</f>
        <v>-477.34</v>
      </c>
      <c r="O13" s="135">
        <f>'Stage 6'!O13</f>
        <v>0</v>
      </c>
      <c r="P13" s="71">
        <f t="shared" si="12"/>
        <v>0</v>
      </c>
      <c r="Q13" s="27">
        <f t="shared" si="13"/>
        <v>0</v>
      </c>
      <c r="R13" s="71"/>
      <c r="S13" s="27">
        <f t="shared" si="14"/>
        <v>0</v>
      </c>
      <c r="T13" s="71"/>
      <c r="U13" s="27">
        <f t="shared" si="15"/>
        <v>0</v>
      </c>
      <c r="V13" s="69"/>
      <c r="W13" s="39">
        <f t="shared" si="16"/>
        <v>0</v>
      </c>
      <c r="Z13" s="15" t="s">
        <v>115</v>
      </c>
      <c r="AA13" s="124" t="s">
        <v>168</v>
      </c>
      <c r="AB13" s="16"/>
      <c r="AC13" s="16" t="s">
        <v>169</v>
      </c>
      <c r="AD13" s="18"/>
      <c r="AE13" s="16" t="s">
        <v>170</v>
      </c>
      <c r="AF13" s="18" t="s">
        <v>171</v>
      </c>
      <c r="AG13" s="14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/>
      <c r="BE13" s="61" t="str">
        <f>'Verification of Boxes'!J18</f>
        <v>PALMER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>
        <f t="shared" si="3"/>
        <v>949.27</v>
      </c>
      <c r="BP13" s="66"/>
      <c r="BR13" s="9" t="str">
        <f>'Verification of Boxes'!J15</f>
        <v>KENNEDY</v>
      </c>
      <c r="BS13" s="182">
        <v>375</v>
      </c>
      <c r="BT13" s="5">
        <f t="shared" si="4"/>
        <v>375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375</v>
      </c>
    </row>
    <row r="14" spans="1:105" ht="15" customHeight="1" thickBot="1" x14ac:dyDescent="0.3">
      <c r="A14" s="20" t="str">
        <f>IF('Stage 6'!A14&lt;&gt;0,'Stage 6'!A14,IF(Q14&gt;=$M$3,"Elected",IF(BP11&lt;&gt;0,"Excluded",0)))</f>
        <v>Elected</v>
      </c>
      <c r="B14" s="235">
        <f>'Stage 6'!B14</f>
        <v>3</v>
      </c>
      <c r="C14" s="119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>'Stage 3'!H14</f>
        <v>0</v>
      </c>
      <c r="I14" s="135">
        <f>'Stage 3'!I14</f>
        <v>1089.5999999999999</v>
      </c>
      <c r="J14" s="71">
        <f>'Stage 4'!J14</f>
        <v>0</v>
      </c>
      <c r="K14" s="135">
        <f>'Stage 4'!K14</f>
        <v>1089.5999999999999</v>
      </c>
      <c r="L14" s="71">
        <f>'Stage 5'!L14</f>
        <v>-18.599999999999909</v>
      </c>
      <c r="M14" s="135">
        <f>'Stage 5'!M14</f>
        <v>1071</v>
      </c>
      <c r="N14" s="71">
        <f>'Stage 6'!N14</f>
        <v>0</v>
      </c>
      <c r="O14" s="135">
        <f>'Stage 6'!O14</f>
        <v>1071</v>
      </c>
      <c r="P14" s="71">
        <f t="shared" si="12"/>
        <v>0</v>
      </c>
      <c r="Q14" s="27">
        <f t="shared" si="13"/>
        <v>1071</v>
      </c>
      <c r="R14" s="71"/>
      <c r="S14" s="27">
        <f t="shared" si="14"/>
        <v>0</v>
      </c>
      <c r="T14" s="71"/>
      <c r="U14" s="27">
        <f t="shared" si="15"/>
        <v>0</v>
      </c>
      <c r="V14" s="69"/>
      <c r="W14" s="39">
        <f t="shared" si="16"/>
        <v>0</v>
      </c>
      <c r="Z14" s="92" t="str">
        <f>'Verification of Boxes'!J10</f>
        <v>EWING</v>
      </c>
      <c r="AA14" s="93">
        <f>O11</f>
        <v>1071</v>
      </c>
      <c r="AB14" s="88"/>
      <c r="AC14" s="99">
        <f t="shared" ref="AC14:AC33" si="17">IF(AA14&gt;0,AA14-AG$4,0)</f>
        <v>0</v>
      </c>
      <c r="AD14" s="123"/>
      <c r="AE14" s="88" t="str">
        <f>IF(Z14=0,0,IF(AA14&gt;=AG$4,"elected",IF(AA14=0,"excluded","continuing")))</f>
        <v>elected</v>
      </c>
      <c r="AF14" s="88">
        <f t="shared" ref="AF14:AF33" si="18">IF(AE14="elected",AC14,0)</f>
        <v>0</v>
      </c>
      <c r="AG14" s="94">
        <f t="shared" ref="AG14:AG33" si="19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/>
      <c r="BE14" s="61" t="str">
        <f>'Verification of Boxes'!J19</f>
        <v>PORTER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6'!A15&lt;&gt;0,'Stage 6'!A15,IF(Q15&gt;=$M$3,"Elected",IF(BP12&lt;&gt;0,"Excluded",0)))</f>
        <v>Elected</v>
      </c>
      <c r="B15" s="235">
        <f>'Stage 6'!B15</f>
        <v>2</v>
      </c>
      <c r="C15" s="119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>'Stage 3'!H15</f>
        <v>0</v>
      </c>
      <c r="I15" s="135">
        <f>'Stage 3'!I15</f>
        <v>1111</v>
      </c>
      <c r="J15" s="71">
        <f>'Stage 4'!J15</f>
        <v>-40</v>
      </c>
      <c r="K15" s="135">
        <f>'Stage 4'!K15</f>
        <v>1071</v>
      </c>
      <c r="L15" s="71">
        <f>'Stage 5'!L15</f>
        <v>0</v>
      </c>
      <c r="M15" s="135">
        <f>'Stage 5'!M15</f>
        <v>1071</v>
      </c>
      <c r="N15" s="71">
        <f>'Stage 6'!N15</f>
        <v>0</v>
      </c>
      <c r="O15" s="135">
        <f>'Stage 6'!O15</f>
        <v>1071</v>
      </c>
      <c r="P15" s="71">
        <f t="shared" si="12"/>
        <v>0</v>
      </c>
      <c r="Q15" s="27">
        <f t="shared" si="13"/>
        <v>1071</v>
      </c>
      <c r="R15" s="71"/>
      <c r="S15" s="27">
        <f t="shared" si="14"/>
        <v>0</v>
      </c>
      <c r="T15" s="71"/>
      <c r="U15" s="27">
        <f t="shared" si="15"/>
        <v>0</v>
      </c>
      <c r="V15" s="69"/>
      <c r="W15" s="39">
        <f t="shared" si="16"/>
        <v>0</v>
      </c>
      <c r="Z15" s="95" t="str">
        <f>'Verification of Boxes'!J11</f>
        <v>FLYNN</v>
      </c>
      <c r="AA15" s="37">
        <f>O12</f>
        <v>671.09</v>
      </c>
      <c r="AB15" s="5"/>
      <c r="AC15" s="100">
        <f t="shared" si="17"/>
        <v>-399.90999999999997</v>
      </c>
      <c r="AD15" s="110"/>
      <c r="AE15" s="5" t="str">
        <f t="shared" ref="AE15:AE33" si="20">IF(Z15=0,0,IF(AA15&gt;=AG$4,"elected",IF(AA15=0,"excluded","continuing")))</f>
        <v>continuing</v>
      </c>
      <c r="AF15" s="5">
        <f t="shared" si="18"/>
        <v>0</v>
      </c>
      <c r="AG15" s="96">
        <f t="shared" si="19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971.12</v>
      </c>
      <c r="BP15" s="66"/>
      <c r="BR15" s="9" t="str">
        <f>'Verification of Boxes'!J17</f>
        <v>MITCHELL</v>
      </c>
      <c r="BS15" s="64">
        <v>7</v>
      </c>
      <c r="BT15" s="5">
        <f t="shared" si="4"/>
        <v>7</v>
      </c>
      <c r="BU15" s="64">
        <v>29</v>
      </c>
      <c r="BV15" s="5">
        <f t="shared" si="5"/>
        <v>29</v>
      </c>
      <c r="BW15" s="64">
        <v>1</v>
      </c>
      <c r="BX15" s="5">
        <f t="shared" si="6"/>
        <v>0.06</v>
      </c>
      <c r="BY15" s="64">
        <v>3</v>
      </c>
      <c r="BZ15" s="5">
        <f t="shared" si="7"/>
        <v>0.09</v>
      </c>
      <c r="CA15" s="64">
        <v>1</v>
      </c>
      <c r="CB15" s="5">
        <f t="shared" si="8"/>
        <v>0.02</v>
      </c>
      <c r="CC15" s="64"/>
      <c r="CD15" s="5">
        <f t="shared" si="9"/>
        <v>0</v>
      </c>
      <c r="CE15" s="5">
        <f t="shared" si="10"/>
        <v>36.170000000000009</v>
      </c>
    </row>
    <row r="16" spans="1:105" ht="15" customHeight="1" thickBot="1" x14ac:dyDescent="0.3">
      <c r="A16" s="20" t="str">
        <f>IF('Stage 6'!A16&lt;&gt;0,'Stage 6'!A16,IF(Q16&gt;=$M$3,"Elected",IF(BP13&lt;&gt;0,"Excluded",0)))</f>
        <v>Elected</v>
      </c>
      <c r="B16" s="235">
        <v>4</v>
      </c>
      <c r="C16" s="119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>'Stage 3'!H16</f>
        <v>3.06</v>
      </c>
      <c r="I16" s="135">
        <f>'Stage 3'!I16</f>
        <v>677.3</v>
      </c>
      <c r="J16" s="71">
        <f>'Stage 4'!J16</f>
        <v>30.029999999999998</v>
      </c>
      <c r="K16" s="135">
        <f>'Stage 4'!K16</f>
        <v>707.32999999999993</v>
      </c>
      <c r="L16" s="71">
        <f>'Stage 5'!L16</f>
        <v>0.22</v>
      </c>
      <c r="M16" s="135">
        <f>'Stage 5'!M16</f>
        <v>707.55</v>
      </c>
      <c r="N16" s="71">
        <f>'Stage 6'!N16</f>
        <v>241.72</v>
      </c>
      <c r="O16" s="135">
        <f>'Stage 6'!O16</f>
        <v>949.27</v>
      </c>
      <c r="P16" s="71">
        <f t="shared" si="12"/>
        <v>375</v>
      </c>
      <c r="Q16" s="27">
        <f t="shared" si="13"/>
        <v>1324.27</v>
      </c>
      <c r="R16" s="71"/>
      <c r="S16" s="27">
        <f t="shared" si="14"/>
        <v>0</v>
      </c>
      <c r="T16" s="71"/>
      <c r="U16" s="27">
        <f t="shared" si="15"/>
        <v>0</v>
      </c>
      <c r="V16" s="69"/>
      <c r="W16" s="39">
        <f t="shared" si="16"/>
        <v>0</v>
      </c>
      <c r="Z16" s="95" t="str">
        <f>'Verification of Boxes'!J12</f>
        <v>FRENCH</v>
      </c>
      <c r="AA16" s="37">
        <f t="shared" ref="AA16:AA33" si="21">O13</f>
        <v>0</v>
      </c>
      <c r="AB16" s="5"/>
      <c r="AC16" s="100">
        <f t="shared" si="17"/>
        <v>0</v>
      </c>
      <c r="AD16" s="110"/>
      <c r="AE16" s="5" t="str">
        <f t="shared" si="20"/>
        <v>excluded</v>
      </c>
      <c r="AF16" s="5">
        <f t="shared" si="18"/>
        <v>0</v>
      </c>
      <c r="AG16" s="96">
        <f t="shared" si="19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706.42</v>
      </c>
      <c r="BP16" s="66"/>
      <c r="BR16" s="9" t="str">
        <f>'Verification of Boxes'!J18</f>
        <v>PALMER</v>
      </c>
      <c r="BS16" s="64">
        <v>6</v>
      </c>
      <c r="BT16" s="5">
        <f t="shared" si="4"/>
        <v>6</v>
      </c>
      <c r="BU16" s="64">
        <v>15</v>
      </c>
      <c r="BV16" s="5">
        <f t="shared" si="5"/>
        <v>15</v>
      </c>
      <c r="BW16" s="64"/>
      <c r="BX16" s="5">
        <f t="shared" si="6"/>
        <v>0</v>
      </c>
      <c r="BY16" s="64">
        <v>2</v>
      </c>
      <c r="BZ16" s="5">
        <f t="shared" si="7"/>
        <v>0.06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21.06</v>
      </c>
    </row>
    <row r="17" spans="1:83" ht="15" customHeight="1" thickBot="1" x14ac:dyDescent="0.3">
      <c r="A17" s="20" t="str">
        <f>IF('Stage 6'!A17&lt;&gt;0,'Stage 6'!A17,IF(Q17&gt;=$M$3,"Elected",IF(BP14&lt;&gt;0,"Excluded",0)))</f>
        <v>Excluded</v>
      </c>
      <c r="B17" s="235">
        <f>'Stage 6'!B17</f>
        <v>0</v>
      </c>
      <c r="C17" s="119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>'Stage 3'!H17</f>
        <v>-388.44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 t="shared" si="12"/>
        <v>0</v>
      </c>
      <c r="Q17" s="27">
        <f t="shared" si="13"/>
        <v>0</v>
      </c>
      <c r="R17" s="71"/>
      <c r="S17" s="27">
        <f t="shared" si="14"/>
        <v>0</v>
      </c>
      <c r="T17" s="71"/>
      <c r="U17" s="27">
        <f t="shared" si="15"/>
        <v>0</v>
      </c>
      <c r="V17" s="69"/>
      <c r="W17" s="39">
        <f t="shared" si="16"/>
        <v>0</v>
      </c>
      <c r="Z17" s="95" t="str">
        <f>'Verification of Boxes'!J13</f>
        <v>GIVAN</v>
      </c>
      <c r="AA17" s="37">
        <f t="shared" si="21"/>
        <v>1071</v>
      </c>
      <c r="AB17" s="5"/>
      <c r="AC17" s="100">
        <f t="shared" si="17"/>
        <v>0</v>
      </c>
      <c r="AD17" s="110"/>
      <c r="AE17" s="5" t="str">
        <f t="shared" si="20"/>
        <v>elected</v>
      </c>
      <c r="AF17" s="5">
        <f t="shared" si="18"/>
        <v>0</v>
      </c>
      <c r="AG17" s="96">
        <f t="shared" si="19"/>
        <v>0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921.15</v>
      </c>
      <c r="BP17" s="66"/>
      <c r="BR17" s="9" t="str">
        <f>'Verification of Boxes'!J19</f>
        <v>PORTER</v>
      </c>
      <c r="BS17" s="64">
        <v>4</v>
      </c>
      <c r="BT17" s="5">
        <f t="shared" si="4"/>
        <v>4</v>
      </c>
      <c r="BU17" s="64">
        <v>6</v>
      </c>
      <c r="BV17" s="5">
        <f t="shared" si="5"/>
        <v>6</v>
      </c>
      <c r="BW17" s="64">
        <v>1</v>
      </c>
      <c r="BX17" s="5">
        <f t="shared" si="6"/>
        <v>0.06</v>
      </c>
      <c r="BY17" s="64"/>
      <c r="BZ17" s="5">
        <f t="shared" si="7"/>
        <v>0</v>
      </c>
      <c r="CA17" s="64">
        <v>1</v>
      </c>
      <c r="CB17" s="5">
        <f t="shared" si="8"/>
        <v>0.02</v>
      </c>
      <c r="CC17" s="64"/>
      <c r="CD17" s="5">
        <f t="shared" si="9"/>
        <v>0</v>
      </c>
      <c r="CE17" s="5">
        <f t="shared" si="10"/>
        <v>10.08</v>
      </c>
    </row>
    <row r="18" spans="1:83" ht="15" customHeight="1" thickBot="1" x14ac:dyDescent="0.3">
      <c r="A18" s="20">
        <f>IF('Stage 6'!A18&lt;&gt;0,'Stage 6'!A18,IF(Q18&gt;=$M$3,"Elected",IF(BP15&lt;&gt;0,"Excluded",0)))</f>
        <v>0</v>
      </c>
      <c r="B18" s="235">
        <f>'Stage 6'!B18</f>
        <v>0</v>
      </c>
      <c r="C18" s="119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>'Stage 3'!H18</f>
        <v>91.42</v>
      </c>
      <c r="I18" s="135">
        <f>'Stage 3'!I18</f>
        <v>962.86</v>
      </c>
      <c r="J18" s="71">
        <f>'Stage 4'!J18</f>
        <v>0.72</v>
      </c>
      <c r="K18" s="135">
        <f>'Stage 4'!K18</f>
        <v>963.58</v>
      </c>
      <c r="L18" s="71">
        <f>'Stage 5'!L18</f>
        <v>1.54</v>
      </c>
      <c r="M18" s="135">
        <f>'Stage 5'!M18</f>
        <v>965.12</v>
      </c>
      <c r="N18" s="71">
        <f>'Stage 6'!N18</f>
        <v>6</v>
      </c>
      <c r="O18" s="135">
        <f>'Stage 6'!O18</f>
        <v>971.12</v>
      </c>
      <c r="P18" s="71">
        <f t="shared" si="12"/>
        <v>36.170000000000009</v>
      </c>
      <c r="Q18" s="27">
        <f t="shared" si="13"/>
        <v>1007.29</v>
      </c>
      <c r="R18" s="71"/>
      <c r="S18" s="27">
        <f t="shared" si="14"/>
        <v>0</v>
      </c>
      <c r="T18" s="71"/>
      <c r="U18" s="27">
        <f t="shared" si="15"/>
        <v>0</v>
      </c>
      <c r="V18" s="69"/>
      <c r="W18" s="39">
        <f t="shared" si="16"/>
        <v>0</v>
      </c>
      <c r="Z18" s="95" t="str">
        <f>'Verification of Boxes'!J14</f>
        <v>GREHAN</v>
      </c>
      <c r="AA18" s="37">
        <f t="shared" si="21"/>
        <v>1071</v>
      </c>
      <c r="AB18" s="5"/>
      <c r="AC18" s="100">
        <f t="shared" si="17"/>
        <v>0</v>
      </c>
      <c r="AD18" s="110"/>
      <c r="AE18" s="5" t="str">
        <f t="shared" si="20"/>
        <v>elected</v>
      </c>
      <c r="AF18" s="5">
        <f t="shared" si="18"/>
        <v>0</v>
      </c>
      <c r="AG18" s="96">
        <f t="shared" si="19"/>
        <v>0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>IF('Stage 6'!A19&lt;&gt;0,'Stage 6'!A19,IF(Q19&gt;=$M$3,"Elected",IF(BP16&lt;&gt;0,"Excluded",0)))</f>
        <v>0</v>
      </c>
      <c r="B19" s="235">
        <f>'Stage 6'!B19</f>
        <v>0</v>
      </c>
      <c r="C19" s="119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>'Stage 3'!H19</f>
        <v>64.48</v>
      </c>
      <c r="I19" s="135">
        <f>'Stage 3'!I19</f>
        <v>692.9</v>
      </c>
      <c r="J19" s="71">
        <f>'Stage 4'!J19</f>
        <v>0.69</v>
      </c>
      <c r="K19" s="135">
        <f>'Stage 4'!K19</f>
        <v>693.59</v>
      </c>
      <c r="L19" s="71">
        <f>'Stage 5'!L19</f>
        <v>0.68</v>
      </c>
      <c r="M19" s="135">
        <f>'Stage 5'!M19</f>
        <v>694.27</v>
      </c>
      <c r="N19" s="71">
        <f>'Stage 6'!N19</f>
        <v>12.15</v>
      </c>
      <c r="O19" s="135">
        <f>'Stage 6'!O19</f>
        <v>706.42</v>
      </c>
      <c r="P19" s="71">
        <f t="shared" si="12"/>
        <v>21.06</v>
      </c>
      <c r="Q19" s="27">
        <f t="shared" si="13"/>
        <v>727.4799999999999</v>
      </c>
      <c r="R19" s="71"/>
      <c r="S19" s="27">
        <f t="shared" si="14"/>
        <v>0</v>
      </c>
      <c r="T19" s="71"/>
      <c r="U19" s="27">
        <f t="shared" si="15"/>
        <v>0</v>
      </c>
      <c r="V19" s="69"/>
      <c r="W19" s="39">
        <f t="shared" si="16"/>
        <v>0</v>
      </c>
      <c r="Z19" s="95" t="str">
        <f>'Verification of Boxes'!J15</f>
        <v>KENNEDY</v>
      </c>
      <c r="AA19" s="37">
        <f t="shared" si="21"/>
        <v>949.27</v>
      </c>
      <c r="AB19" s="5"/>
      <c r="AC19" s="100">
        <f t="shared" si="17"/>
        <v>-121.73000000000002</v>
      </c>
      <c r="AD19" s="110"/>
      <c r="AE19" s="5" t="str">
        <f t="shared" si="20"/>
        <v>continuing</v>
      </c>
      <c r="AF19" s="5">
        <f t="shared" si="18"/>
        <v>0</v>
      </c>
      <c r="AG19" s="96">
        <f t="shared" si="19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6'!A20&lt;&gt;0,'Stage 6'!A20,IF(Q20&gt;=$M$3,"Elected",IF(BP17&lt;&gt;0,"Excluded",0)))</f>
        <v>0</v>
      </c>
      <c r="B20" s="235">
        <f>'Stage 6'!B20</f>
        <v>0</v>
      </c>
      <c r="C20" s="119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>'Stage 3'!H20</f>
        <v>204.42</v>
      </c>
      <c r="I20" s="135">
        <f>'Stage 3'!I20</f>
        <v>900.42</v>
      </c>
      <c r="J20" s="71">
        <f>'Stage 4'!J20</f>
        <v>0.39</v>
      </c>
      <c r="K20" s="135">
        <f>'Stage 4'!K20</f>
        <v>900.81</v>
      </c>
      <c r="L20" s="71">
        <f>'Stage 5'!L20</f>
        <v>14.34</v>
      </c>
      <c r="M20" s="135">
        <f>'Stage 5'!M20</f>
        <v>915.15</v>
      </c>
      <c r="N20" s="71">
        <f>'Stage 6'!N20</f>
        <v>6</v>
      </c>
      <c r="O20" s="135">
        <f>'Stage 6'!O20</f>
        <v>921.15</v>
      </c>
      <c r="P20" s="71">
        <f t="shared" si="12"/>
        <v>10.08</v>
      </c>
      <c r="Q20" s="27">
        <f t="shared" si="13"/>
        <v>931.23</v>
      </c>
      <c r="R20" s="71"/>
      <c r="S20" s="27">
        <f t="shared" si="14"/>
        <v>0</v>
      </c>
      <c r="T20" s="71"/>
      <c r="U20" s="27">
        <f t="shared" si="15"/>
        <v>0</v>
      </c>
      <c r="V20" s="69"/>
      <c r="W20" s="39">
        <f t="shared" si="16"/>
        <v>0</v>
      </c>
      <c r="Z20" s="95" t="str">
        <f>'Verification of Boxes'!J16</f>
        <v>MCEVOY</v>
      </c>
      <c r="AA20" s="37">
        <f t="shared" si="21"/>
        <v>0</v>
      </c>
      <c r="AB20" s="5"/>
      <c r="AC20" s="100">
        <f t="shared" si="17"/>
        <v>0</v>
      </c>
      <c r="AD20" s="110"/>
      <c r="AE20" s="5" t="str">
        <f t="shared" si="20"/>
        <v>excluded</v>
      </c>
      <c r="AF20" s="5">
        <f t="shared" si="18"/>
        <v>0</v>
      </c>
      <c r="AG20" s="96">
        <f t="shared" si="19"/>
        <v>0</v>
      </c>
      <c r="AJ20" s="339" t="s">
        <v>184</v>
      </c>
      <c r="AK20" s="340"/>
      <c r="AL20" s="142">
        <f>AL46</f>
        <v>671.09</v>
      </c>
      <c r="AM20" s="118"/>
      <c r="AN20" s="142">
        <f>AL20+AG2</f>
        <v>671.09</v>
      </c>
      <c r="AO20" s="334" t="str">
        <f>IF(AN20&gt;AG4,0,IF(AN20&lt;AL21,"Exclude lowest candidate",0))</f>
        <v>Exclude lowest candidate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6'!A21&lt;&gt;0,'Stage 6'!A21,IF(Q21&gt;=$M$3,"Elected",IF(BP18&lt;&gt;0,"Excluded",0)))</f>
        <v>0</v>
      </c>
      <c r="B21" s="235">
        <f>'Stage 6'!B21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 t="shared" si="12"/>
        <v>0</v>
      </c>
      <c r="Q21" s="27">
        <f t="shared" si="13"/>
        <v>0</v>
      </c>
      <c r="R21" s="71"/>
      <c r="S21" s="27">
        <f t="shared" si="14"/>
        <v>0</v>
      </c>
      <c r="T21" s="71"/>
      <c r="U21" s="27">
        <f t="shared" si="15"/>
        <v>0</v>
      </c>
      <c r="V21" s="69"/>
      <c r="W21" s="39">
        <f t="shared" si="16"/>
        <v>0</v>
      </c>
      <c r="Z21" s="95" t="str">
        <f>'Verification of Boxes'!J17</f>
        <v>MITCHELL</v>
      </c>
      <c r="AA21" s="37">
        <f t="shared" si="21"/>
        <v>971.12</v>
      </c>
      <c r="AB21" s="5"/>
      <c r="AC21" s="100">
        <f t="shared" si="17"/>
        <v>-99.88</v>
      </c>
      <c r="AD21" s="110"/>
      <c r="AE21" s="5" t="str">
        <f t="shared" si="20"/>
        <v>continuing</v>
      </c>
      <c r="AF21" s="5">
        <f t="shared" si="18"/>
        <v>0</v>
      </c>
      <c r="AG21" s="96">
        <f t="shared" si="19"/>
        <v>0</v>
      </c>
      <c r="AJ21" s="341" t="s">
        <v>185</v>
      </c>
      <c r="AK21" s="293"/>
      <c r="AL21" s="37">
        <f>IF(AL20=1000000,0,AN46)</f>
        <v>706.42</v>
      </c>
      <c r="AM21" s="5">
        <f>AL21-AL20</f>
        <v>35.329999999999927</v>
      </c>
      <c r="AN21" s="5">
        <f>IF(AL21=1000000,0,IF(AN20=0,0,AN20+AL21))</f>
        <v>1377.51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6'!A22&lt;&gt;0,'Stage 6'!A22,IF(Q22&gt;=$M$3,"Elected",IF(BP19&lt;&gt;0,"Excluded",0)))</f>
        <v>0</v>
      </c>
      <c r="B22" s="235">
        <f>'Stage 6'!B22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 t="shared" si="12"/>
        <v>0</v>
      </c>
      <c r="Q22" s="27">
        <f t="shared" si="13"/>
        <v>0</v>
      </c>
      <c r="R22" s="71"/>
      <c r="S22" s="27">
        <f t="shared" si="14"/>
        <v>0</v>
      </c>
      <c r="T22" s="71"/>
      <c r="U22" s="27">
        <f t="shared" si="15"/>
        <v>0</v>
      </c>
      <c r="V22" s="69"/>
      <c r="W22" s="39">
        <f t="shared" si="16"/>
        <v>0</v>
      </c>
      <c r="Z22" s="95" t="str">
        <f>'Verification of Boxes'!J18</f>
        <v>PALMER</v>
      </c>
      <c r="AA22" s="37">
        <f t="shared" si="21"/>
        <v>706.42</v>
      </c>
      <c r="AB22" s="5"/>
      <c r="AC22" s="100">
        <f t="shared" si="17"/>
        <v>-364.58000000000004</v>
      </c>
      <c r="AD22" s="110"/>
      <c r="AE22" s="5" t="str">
        <f t="shared" si="20"/>
        <v>continuing</v>
      </c>
      <c r="AF22" s="5">
        <f t="shared" si="18"/>
        <v>0</v>
      </c>
      <c r="AG22" s="96">
        <f t="shared" si="19"/>
        <v>0</v>
      </c>
      <c r="AJ22" s="341" t="s">
        <v>185</v>
      </c>
      <c r="AK22" s="293"/>
      <c r="AL22" s="37">
        <f>IF(AL21=1000000,0,AP46)</f>
        <v>921.15</v>
      </c>
      <c r="AM22" s="5">
        <f>IF(AL22=1000000,0,IF(AM21=0,0,AL22-AL21))</f>
        <v>214.73000000000002</v>
      </c>
      <c r="AN22" s="5">
        <f>IF(AL22=1000000,0,IF(AN21=0,0,AN21+AL22))</f>
        <v>2298.66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6'!A23&lt;&gt;0,'Stage 6'!A23,IF(Q23&gt;=$M$3,"Elected",IF(BP20&lt;&gt;0,"Excluded",0)))</f>
        <v>0</v>
      </c>
      <c r="B23" s="235">
        <f>'Stage 6'!B23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 t="shared" si="12"/>
        <v>0</v>
      </c>
      <c r="Q23" s="27">
        <f t="shared" si="13"/>
        <v>0</v>
      </c>
      <c r="R23" s="71"/>
      <c r="S23" s="27">
        <f t="shared" si="14"/>
        <v>0</v>
      </c>
      <c r="T23" s="71"/>
      <c r="U23" s="27">
        <f t="shared" si="15"/>
        <v>0</v>
      </c>
      <c r="V23" s="69"/>
      <c r="W23" s="39">
        <f t="shared" si="16"/>
        <v>0</v>
      </c>
      <c r="Z23" s="95" t="str">
        <f>'Verification of Boxes'!J19</f>
        <v>PORTER</v>
      </c>
      <c r="AA23" s="37">
        <f t="shared" si="21"/>
        <v>921.15</v>
      </c>
      <c r="AB23" s="5"/>
      <c r="AC23" s="100">
        <f t="shared" si="17"/>
        <v>-149.85000000000002</v>
      </c>
      <c r="AD23" s="110"/>
      <c r="AE23" s="5" t="str">
        <f t="shared" si="20"/>
        <v>continuing</v>
      </c>
      <c r="AF23" s="5">
        <f t="shared" si="18"/>
        <v>0</v>
      </c>
      <c r="AG23" s="96">
        <f t="shared" si="19"/>
        <v>0</v>
      </c>
      <c r="AJ23" s="341" t="s">
        <v>185</v>
      </c>
      <c r="AK23" s="293"/>
      <c r="AL23" s="37">
        <f>IF(AL22=1000000,0,AR46)</f>
        <v>949.27</v>
      </c>
      <c r="AM23" s="5">
        <f>IF(AL23=1000000,0,IF(AM22=0,0,AL23-AL22))</f>
        <v>28.120000000000005</v>
      </c>
      <c r="AN23" s="5">
        <f>IF(AL23=1000000,0,IF(AN22=0,0,AN22+AL23))</f>
        <v>3247.93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6'!A24&lt;&gt;0,'Stage 6'!A24,IF(Q24&gt;=$M$3,"Elected",IF(BP21&lt;&gt;0,"Excluded",0)))</f>
        <v>0</v>
      </c>
      <c r="B24" s="235">
        <f>'Stage 6'!B24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 t="shared" si="12"/>
        <v>0</v>
      </c>
      <c r="Q24" s="27">
        <f t="shared" si="13"/>
        <v>0</v>
      </c>
      <c r="R24" s="71"/>
      <c r="S24" s="27">
        <f t="shared" si="14"/>
        <v>0</v>
      </c>
      <c r="T24" s="71"/>
      <c r="U24" s="27">
        <f t="shared" si="15"/>
        <v>0</v>
      </c>
      <c r="V24" s="69"/>
      <c r="W24" s="39">
        <f t="shared" si="16"/>
        <v>0</v>
      </c>
      <c r="Z24" s="95">
        <f>'Verification of Boxes'!J20</f>
        <v>0</v>
      </c>
      <c r="AA24" s="37">
        <f t="shared" si="21"/>
        <v>0</v>
      </c>
      <c r="AB24" s="5"/>
      <c r="AC24" s="100">
        <f t="shared" si="17"/>
        <v>0</v>
      </c>
      <c r="AD24" s="110"/>
      <c r="AE24" s="5">
        <f t="shared" si="20"/>
        <v>0</v>
      </c>
      <c r="AF24" s="5">
        <f t="shared" si="18"/>
        <v>0</v>
      </c>
      <c r="AG24" s="96">
        <f t="shared" si="19"/>
        <v>0</v>
      </c>
      <c r="AJ24" s="341" t="s">
        <v>185</v>
      </c>
      <c r="AK24" s="293"/>
      <c r="AL24" s="37">
        <f>IF(AR46=1000000,0,AU46)</f>
        <v>971.12</v>
      </c>
      <c r="AM24" s="5">
        <f>IF(AL24=1000000,0,IF(AM23=0,0,AL24-AL23))</f>
        <v>21.850000000000023</v>
      </c>
      <c r="AN24" s="5">
        <f>IF(AL24=1000000,0,IF(AN23=0,0,AN23+AL24))</f>
        <v>4219.05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189</v>
      </c>
      <c r="BA24" s="3" t="s">
        <v>190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6'!A25&lt;&gt;0,'Stage 6'!A25,IF(Q25&gt;=$M$3,"Elected",IF(BP22&lt;&gt;0,"Excluded",0)))</f>
        <v>0</v>
      </c>
      <c r="B25" s="235">
        <f>'Stage 6'!B25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 t="shared" si="12"/>
        <v>0</v>
      </c>
      <c r="Q25" s="27">
        <f t="shared" si="13"/>
        <v>0</v>
      </c>
      <c r="R25" s="71"/>
      <c r="S25" s="27">
        <f t="shared" si="14"/>
        <v>0</v>
      </c>
      <c r="T25" s="71"/>
      <c r="U25" s="27">
        <f t="shared" si="15"/>
        <v>0</v>
      </c>
      <c r="V25" s="69"/>
      <c r="W25" s="39">
        <f t="shared" si="16"/>
        <v>0</v>
      </c>
      <c r="Z25" s="95">
        <f>'Verification of Boxes'!J21</f>
        <v>0</v>
      </c>
      <c r="AA25" s="37">
        <f t="shared" si="21"/>
        <v>0</v>
      </c>
      <c r="AB25" s="5"/>
      <c r="AC25" s="100">
        <f t="shared" si="17"/>
        <v>0</v>
      </c>
      <c r="AD25" s="110"/>
      <c r="AE25" s="5">
        <f t="shared" si="20"/>
        <v>0</v>
      </c>
      <c r="AF25" s="5">
        <f t="shared" si="18"/>
        <v>0</v>
      </c>
      <c r="AG25" s="96">
        <f t="shared" si="19"/>
        <v>0</v>
      </c>
      <c r="AJ25" s="355" t="s">
        <v>185</v>
      </c>
      <c r="AK25" s="356"/>
      <c r="AL25" s="89">
        <f>IF(AL24=1000000,0,AW46)</f>
        <v>1071</v>
      </c>
      <c r="AM25" s="90">
        <f>IF(AL25=1000000,0,IF(AM24=0,0,AL25-AL24))</f>
        <v>99.88</v>
      </c>
      <c r="AN25" s="90">
        <f>IF(AL25=1000000,0,IF(AN24=0,0,AN24+AL25))</f>
        <v>5290.05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0</v>
      </c>
      <c r="BE25" s="61" t="s">
        <v>193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6'!A26&lt;&gt;0,'Stage 6'!A26,IF(Q26&gt;=$M$3,"Elected",IF(BP23&lt;&gt;0,"Excluded",0)))</f>
        <v>0</v>
      </c>
      <c r="B26" s="235">
        <f>'Stage 6'!B26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 t="shared" si="12"/>
        <v>0</v>
      </c>
      <c r="Q26" s="27">
        <f t="shared" si="13"/>
        <v>0</v>
      </c>
      <c r="R26" s="71"/>
      <c r="S26" s="27">
        <f t="shared" si="14"/>
        <v>0</v>
      </c>
      <c r="T26" s="71"/>
      <c r="U26" s="27">
        <f t="shared" si="15"/>
        <v>0</v>
      </c>
      <c r="V26" s="69"/>
      <c r="W26" s="39">
        <f t="shared" si="16"/>
        <v>0</v>
      </c>
      <c r="Z26" s="95">
        <f>'Verification of Boxes'!J22</f>
        <v>0</v>
      </c>
      <c r="AA26" s="37">
        <f t="shared" si="21"/>
        <v>0</v>
      </c>
      <c r="AB26" s="5"/>
      <c r="AC26" s="100">
        <f t="shared" si="17"/>
        <v>0</v>
      </c>
      <c r="AD26" s="110"/>
      <c r="AE26" s="5">
        <f t="shared" si="20"/>
        <v>0</v>
      </c>
      <c r="AF26" s="5">
        <f t="shared" si="18"/>
        <v>0</v>
      </c>
      <c r="AG26" s="96">
        <f t="shared" si="19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194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6'!A27&lt;&gt;0,'Stage 6'!A27,IF(Q27&gt;=$M$3,"Elected",IF(BP24&lt;&gt;0,"Excluded",0)))</f>
        <v>0</v>
      </c>
      <c r="B27" s="235">
        <f>'Stage 6'!B27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 t="shared" si="12"/>
        <v>0</v>
      </c>
      <c r="Q27" s="27">
        <f t="shared" si="13"/>
        <v>0</v>
      </c>
      <c r="R27" s="71"/>
      <c r="S27" s="27">
        <f t="shared" si="14"/>
        <v>0</v>
      </c>
      <c r="T27" s="71"/>
      <c r="U27" s="27">
        <f t="shared" si="15"/>
        <v>0</v>
      </c>
      <c r="V27" s="69"/>
      <c r="W27" s="39">
        <f t="shared" si="16"/>
        <v>0</v>
      </c>
      <c r="Z27" s="95">
        <f>'Verification of Boxes'!J23</f>
        <v>0</v>
      </c>
      <c r="AA27" s="37">
        <f t="shared" si="21"/>
        <v>0</v>
      </c>
      <c r="AB27" s="5"/>
      <c r="AC27" s="100">
        <f t="shared" si="17"/>
        <v>0</v>
      </c>
      <c r="AD27" s="110"/>
      <c r="AE27" s="5">
        <f t="shared" si="20"/>
        <v>0</v>
      </c>
      <c r="AF27" s="5">
        <f t="shared" si="18"/>
        <v>0</v>
      </c>
      <c r="AG27" s="96">
        <f t="shared" si="19"/>
        <v>0</v>
      </c>
      <c r="AJ27" s="98"/>
      <c r="AK27" s="98"/>
      <c r="AT27" s="5">
        <f>AW27</f>
        <v>0</v>
      </c>
      <c r="AU27" s="5">
        <f t="shared" ref="AU27:AU32" si="22">IF(AO20&lt;&gt;0,1,0)</f>
        <v>1</v>
      </c>
      <c r="AV27" s="5">
        <f>AU27</f>
        <v>1</v>
      </c>
      <c r="AW27" s="5">
        <f t="shared" ref="AW27:AW32" si="23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6'!A28&lt;&gt;0,'Stage 6'!A28,IF(Q28&gt;=$M$3,"Elected",IF(BP25&lt;&gt;0,"Excluded",0)))</f>
        <v>0</v>
      </c>
      <c r="B28" s="235">
        <f>'Stage 6'!B28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 t="shared" si="12"/>
        <v>0</v>
      </c>
      <c r="Q28" s="27">
        <f t="shared" si="13"/>
        <v>0</v>
      </c>
      <c r="R28" s="71"/>
      <c r="S28" s="27">
        <f t="shared" si="14"/>
        <v>0</v>
      </c>
      <c r="T28" s="71"/>
      <c r="U28" s="27">
        <f t="shared" si="15"/>
        <v>0</v>
      </c>
      <c r="V28" s="69"/>
      <c r="W28" s="39">
        <f t="shared" si="16"/>
        <v>0</v>
      </c>
      <c r="Z28" s="95">
        <f>'Verification of Boxes'!J24</f>
        <v>0</v>
      </c>
      <c r="AA28" s="37">
        <f t="shared" si="21"/>
        <v>0</v>
      </c>
      <c r="AB28" s="5"/>
      <c r="AC28" s="100">
        <f t="shared" si="17"/>
        <v>0</v>
      </c>
      <c r="AD28" s="110"/>
      <c r="AE28" s="5">
        <f t="shared" si="20"/>
        <v>0</v>
      </c>
      <c r="AF28" s="5">
        <f t="shared" si="18"/>
        <v>0</v>
      </c>
      <c r="AG28" s="96">
        <f t="shared" si="19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0</v>
      </c>
      <c r="AU28" s="5">
        <f t="shared" si="22"/>
        <v>0</v>
      </c>
      <c r="AV28" s="5">
        <f>AV27+AU28</f>
        <v>1</v>
      </c>
      <c r="AW28" s="5">
        <f t="shared" si="23"/>
        <v>0</v>
      </c>
      <c r="BA28" s="3"/>
      <c r="BB28" s="3"/>
      <c r="BC28" s="2"/>
      <c r="BR28" s="19" t="s">
        <v>123</v>
      </c>
      <c r="BS28" s="63">
        <v>101</v>
      </c>
      <c r="BT28" s="119">
        <f t="shared" si="4"/>
        <v>101</v>
      </c>
      <c r="BU28" s="63">
        <v>127</v>
      </c>
      <c r="BV28" s="119">
        <f t="shared" si="5"/>
        <v>127</v>
      </c>
      <c r="BW28" s="63">
        <v>5</v>
      </c>
      <c r="BX28" s="119">
        <f t="shared" si="6"/>
        <v>0.3</v>
      </c>
      <c r="BY28" s="63">
        <v>16</v>
      </c>
      <c r="BZ28" s="119">
        <f t="shared" si="7"/>
        <v>0.48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228.78</v>
      </c>
    </row>
    <row r="29" spans="1:83" ht="13.5" thickBot="1" x14ac:dyDescent="0.35">
      <c r="A29" s="20">
        <f>IF('Stage 6'!A29&lt;&gt;0,'Stage 6'!A29,IF(Q29&gt;=$M$3,"Elected",IF(BP26&lt;&gt;0,"Excluded",0)))</f>
        <v>0</v>
      </c>
      <c r="B29" s="235">
        <f>'Stage 6'!B29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 t="shared" si="12"/>
        <v>0</v>
      </c>
      <c r="Q29" s="27">
        <f t="shared" si="13"/>
        <v>0</v>
      </c>
      <c r="R29" s="71"/>
      <c r="S29" s="27">
        <f t="shared" si="14"/>
        <v>0</v>
      </c>
      <c r="T29" s="71"/>
      <c r="U29" s="27">
        <f t="shared" si="15"/>
        <v>0</v>
      </c>
      <c r="V29" s="69"/>
      <c r="W29" s="39">
        <f t="shared" si="16"/>
        <v>0</v>
      </c>
      <c r="Z29" s="95">
        <f>'Verification of Boxes'!J25</f>
        <v>0</v>
      </c>
      <c r="AA29" s="37">
        <f t="shared" si="21"/>
        <v>0</v>
      </c>
      <c r="AB29" s="5"/>
      <c r="AC29" s="100">
        <f t="shared" si="17"/>
        <v>0</v>
      </c>
      <c r="AD29" s="110"/>
      <c r="AE29" s="5">
        <f t="shared" si="20"/>
        <v>0</v>
      </c>
      <c r="AF29" s="5">
        <f t="shared" si="18"/>
        <v>0</v>
      </c>
      <c r="AG29" s="96">
        <f t="shared" si="19"/>
        <v>0</v>
      </c>
      <c r="AL29" s="330"/>
      <c r="AM29" s="331"/>
      <c r="AN29" s="331"/>
      <c r="AO29" s="331"/>
      <c r="AP29" s="331"/>
      <c r="AQ29" s="332"/>
      <c r="AT29" s="5">
        <f>AT28+AW29</f>
        <v>0</v>
      </c>
      <c r="AU29" s="5">
        <f t="shared" si="22"/>
        <v>0</v>
      </c>
      <c r="AV29" s="5">
        <f>AV28+AU29</f>
        <v>1</v>
      </c>
      <c r="AW29" s="5">
        <f t="shared" si="23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0</v>
      </c>
      <c r="BR29" s="5" t="s">
        <v>200</v>
      </c>
      <c r="BS29" s="118">
        <f>SUM(BS8:BS28)</f>
        <v>493</v>
      </c>
      <c r="BT29" s="5">
        <f t="shared" si="4"/>
        <v>493</v>
      </c>
      <c r="BU29" s="118">
        <f>SUM(BU8:BU28)</f>
        <v>177</v>
      </c>
      <c r="BV29" s="5">
        <f t="shared" si="5"/>
        <v>177</v>
      </c>
      <c r="BW29" s="118">
        <f>SUM(BW8:BW28)</f>
        <v>7</v>
      </c>
      <c r="BX29" s="5">
        <f t="shared" si="6"/>
        <v>0.42</v>
      </c>
      <c r="BY29" s="118">
        <f>SUM(BY8:BY28)</f>
        <v>21</v>
      </c>
      <c r="BZ29" s="5">
        <f t="shared" si="7"/>
        <v>0.63</v>
      </c>
      <c r="CA29" s="118">
        <f>SUM(CA8:CA28)</f>
        <v>2</v>
      </c>
      <c r="CB29" s="5">
        <f t="shared" si="8"/>
        <v>0.04</v>
      </c>
      <c r="CC29" s="118">
        <f>SUM(CC8:CC28)</f>
        <v>0</v>
      </c>
      <c r="CD29" s="5">
        <f t="shared" si="9"/>
        <v>0</v>
      </c>
      <c r="CE29" s="5">
        <f>SUM(CE8:CE28)</f>
        <v>671.09</v>
      </c>
    </row>
    <row r="30" spans="1:83" ht="14.25" customHeight="1" thickBot="1" x14ac:dyDescent="0.3">
      <c r="A30" s="21">
        <f>IF('Stage 6'!A30&lt;&gt;0,'Stage 6'!A30,IF(Q30&gt;=$M$3,"Elected",IF(BP27&lt;&gt;0,"Excluded",0)))</f>
        <v>0</v>
      </c>
      <c r="B30" s="235">
        <f>'Stage 6'!B30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 t="shared" si="12"/>
        <v>0</v>
      </c>
      <c r="Q30" s="27">
        <f t="shared" si="13"/>
        <v>0</v>
      </c>
      <c r="R30" s="71"/>
      <c r="S30" s="27">
        <f t="shared" si="14"/>
        <v>0</v>
      </c>
      <c r="T30" s="71"/>
      <c r="U30" s="27">
        <f t="shared" si="15"/>
        <v>0</v>
      </c>
      <c r="V30" s="69"/>
      <c r="W30" s="39">
        <f t="shared" si="16"/>
        <v>0</v>
      </c>
      <c r="Z30" s="95">
        <f>'Verification of Boxes'!J26</f>
        <v>0</v>
      </c>
      <c r="AA30" s="37">
        <f t="shared" si="21"/>
        <v>0</v>
      </c>
      <c r="AB30" s="5"/>
      <c r="AC30" s="100">
        <f t="shared" si="17"/>
        <v>0</v>
      </c>
      <c r="AD30" s="110"/>
      <c r="AE30" s="5">
        <f t="shared" si="20"/>
        <v>0</v>
      </c>
      <c r="AF30" s="5">
        <f t="shared" si="18"/>
        <v>0</v>
      </c>
      <c r="AG30" s="96">
        <f t="shared" si="19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2"/>
        <v>0</v>
      </c>
      <c r="AV30" s="5">
        <f>AV29+AU30</f>
        <v>1</v>
      </c>
      <c r="AW30" s="5">
        <f t="shared" si="23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252</v>
      </c>
      <c r="BJ30" s="328"/>
      <c r="BK30" s="329"/>
      <c r="BX30" s="333" t="str">
        <f>IF(BW31=BW69,"Calculations OK","Check Count for Error")</f>
        <v>Calculations OK</v>
      </c>
      <c r="BY30" s="333"/>
    </row>
    <row r="31" spans="1:83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1">
        <f>'Stage 3'!H31</f>
        <v>20.059999999999999</v>
      </c>
      <c r="I31" s="135">
        <f>'Stage 3'!I31</f>
        <v>20.079999999999995</v>
      </c>
      <c r="J31" s="71">
        <f>'Stage 4'!J31</f>
        <v>6.7899999999999991</v>
      </c>
      <c r="K31" s="135">
        <f>'Stage 4'!K31</f>
        <v>26.869999999999994</v>
      </c>
      <c r="L31" s="71">
        <f>'Stage 5'!L31</f>
        <v>1.7599999999999092</v>
      </c>
      <c r="M31" s="135">
        <f>'Stage 5'!M31</f>
        <v>28.629999999999903</v>
      </c>
      <c r="N31" s="71">
        <f>'Stage 6'!N31</f>
        <v>35.320000000000007</v>
      </c>
      <c r="O31" s="135">
        <f>'Stage 6'!O31</f>
        <v>63.94999999999991</v>
      </c>
      <c r="P31" s="71">
        <f>$BK69</f>
        <v>228.78</v>
      </c>
      <c r="Q31" s="40">
        <f t="shared" si="13"/>
        <v>292.7299999999999</v>
      </c>
      <c r="R31" s="72"/>
      <c r="S31" s="40">
        <f t="shared" si="14"/>
        <v>0</v>
      </c>
      <c r="T31" s="72"/>
      <c r="U31" s="40">
        <f t="shared" si="15"/>
        <v>0</v>
      </c>
      <c r="V31" s="70"/>
      <c r="W31" s="41">
        <f t="shared" si="16"/>
        <v>0</v>
      </c>
      <c r="Z31" s="95">
        <f>'Verification of Boxes'!J27</f>
        <v>0</v>
      </c>
      <c r="AA31" s="37">
        <f t="shared" si="21"/>
        <v>0</v>
      </c>
      <c r="AB31" s="5"/>
      <c r="AC31" s="100">
        <f t="shared" si="17"/>
        <v>0</v>
      </c>
      <c r="AD31" s="110"/>
      <c r="AE31" s="5">
        <f t="shared" si="20"/>
        <v>0</v>
      </c>
      <c r="AF31" s="5">
        <f t="shared" si="18"/>
        <v>0</v>
      </c>
      <c r="AG31" s="96">
        <f t="shared" si="19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0</v>
      </c>
      <c r="AU31" s="5">
        <f t="shared" si="22"/>
        <v>0</v>
      </c>
      <c r="AV31" s="5">
        <f>AV30+AU31</f>
        <v>1</v>
      </c>
      <c r="AW31" s="5">
        <f t="shared" si="23"/>
        <v>0</v>
      </c>
      <c r="AZ31" t="s">
        <v>203</v>
      </c>
      <c r="BA31" s="3" t="s">
        <v>204</v>
      </c>
      <c r="BB31" s="3"/>
      <c r="BC31" s="50" t="b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V31" t="s">
        <v>119</v>
      </c>
      <c r="BW31" s="5">
        <f>BT29+BV29+BX29+BZ29+CB29+CD29</f>
        <v>671.08999999999992</v>
      </c>
      <c r="BX31" s="311"/>
      <c r="BY31" s="311"/>
      <c r="BZ31" s="5">
        <f>BW69-BW31</f>
        <v>0</v>
      </c>
      <c r="CB31" s="327" t="s">
        <v>252</v>
      </c>
      <c r="CC31" s="328"/>
      <c r="CD31" s="328"/>
      <c r="CE31" s="32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1"/>
      <c r="I32" s="135">
        <f>'Stage 3'!I32</f>
        <v>7496</v>
      </c>
      <c r="J32" s="192"/>
      <c r="K32" s="135">
        <f>'Stage 4'!K32</f>
        <v>7495.9999999999991</v>
      </c>
      <c r="L32" s="192"/>
      <c r="M32" s="135">
        <f>'Stage 5'!M32</f>
        <v>7495.9999999999991</v>
      </c>
      <c r="N32" s="192"/>
      <c r="O32" s="135">
        <f>'Stage 6'!O32</f>
        <v>7496</v>
      </c>
      <c r="P32" s="192"/>
      <c r="Q32" s="49">
        <f>SUM(Q11:Q31)</f>
        <v>7496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1"/>
        <v>0</v>
      </c>
      <c r="AB32" s="5"/>
      <c r="AC32" s="100">
        <f t="shared" si="17"/>
        <v>0</v>
      </c>
      <c r="AD32" s="110"/>
      <c r="AE32" s="5">
        <f t="shared" si="20"/>
        <v>0</v>
      </c>
      <c r="AF32" s="5">
        <f t="shared" si="18"/>
        <v>0</v>
      </c>
      <c r="AG32" s="96">
        <f t="shared" si="19"/>
        <v>0</v>
      </c>
      <c r="AL32" s="330"/>
      <c r="AM32" s="331"/>
      <c r="AN32" s="331"/>
      <c r="AO32" s="331"/>
      <c r="AP32" s="331"/>
      <c r="AQ32" s="332"/>
      <c r="AT32" s="5">
        <f>AT31+AW32</f>
        <v>0</v>
      </c>
      <c r="AU32" s="5">
        <f t="shared" si="22"/>
        <v>0</v>
      </c>
      <c r="AV32" s="5">
        <f>AV31+AU32</f>
        <v>1</v>
      </c>
      <c r="AW32" s="5">
        <f t="shared" si="23"/>
        <v>0</v>
      </c>
      <c r="BF32" s="311"/>
      <c r="BG32" s="311"/>
      <c r="BX32" s="311"/>
      <c r="BY32" s="311"/>
      <c r="CB32" s="330"/>
      <c r="CC32" s="331"/>
      <c r="CD32" s="331"/>
      <c r="CE32" s="332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Z33" s="97">
        <f>'Verification of Boxes'!J29</f>
        <v>0</v>
      </c>
      <c r="AA33" s="89">
        <f t="shared" si="21"/>
        <v>0</v>
      </c>
      <c r="AB33" s="90"/>
      <c r="AC33" s="101">
        <f t="shared" si="17"/>
        <v>0</v>
      </c>
      <c r="AD33" s="147"/>
      <c r="AE33" s="90">
        <f t="shared" si="20"/>
        <v>0</v>
      </c>
      <c r="AF33" s="90">
        <f t="shared" si="18"/>
        <v>0</v>
      </c>
      <c r="AG33" s="148">
        <f t="shared" si="19"/>
        <v>0</v>
      </c>
    </row>
    <row r="34" spans="4:75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5">
        <f>'Stage 3'!I34</f>
        <v>0</v>
      </c>
      <c r="J34" s="219"/>
      <c r="K34" s="185">
        <f>'Stage 4'!K34</f>
        <v>0</v>
      </c>
      <c r="L34" s="219"/>
      <c r="M34" s="185">
        <f>'Stage 5'!M34</f>
        <v>0</v>
      </c>
      <c r="N34" s="219"/>
      <c r="O34" s="185">
        <f>'Stage 6'!O34</f>
        <v>0</v>
      </c>
      <c r="P34" s="219"/>
      <c r="Q34" s="183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</row>
    <row r="36" spans="4:75" x14ac:dyDescent="0.25">
      <c r="D36" s="25"/>
      <c r="E36" s="2"/>
      <c r="G36" s="2"/>
      <c r="I36" s="2"/>
      <c r="K36" s="2"/>
      <c r="M36" s="2"/>
      <c r="O36" s="2"/>
    </row>
    <row r="38" spans="4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4">AL39+AK40</f>
        <v>0</v>
      </c>
      <c r="AM40" s="5">
        <f t="shared" si="24"/>
        <v>0</v>
      </c>
      <c r="AN40" s="5">
        <f t="shared" si="24"/>
        <v>0</v>
      </c>
      <c r="AO40" s="5">
        <f t="shared" si="24"/>
        <v>0</v>
      </c>
      <c r="AP40" s="5">
        <f t="shared" si="24"/>
        <v>0</v>
      </c>
      <c r="AQ40" s="5">
        <f t="shared" si="24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5">IF(AK40=AL40,1,0)</f>
        <v>1</v>
      </c>
      <c r="AM41" s="5">
        <f t="shared" si="25"/>
        <v>1</v>
      </c>
      <c r="AN41" s="5">
        <f t="shared" si="25"/>
        <v>1</v>
      </c>
      <c r="AO41" s="5">
        <f t="shared" si="25"/>
        <v>1</v>
      </c>
      <c r="AP41" s="5">
        <f t="shared" si="25"/>
        <v>1</v>
      </c>
      <c r="AQ41" s="5">
        <f t="shared" si="25"/>
        <v>1</v>
      </c>
    </row>
    <row r="42" spans="4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26">IF(AM40=AL38,"add",0)</f>
        <v>0</v>
      </c>
      <c r="AM42" s="5">
        <f t="shared" si="26"/>
        <v>0</v>
      </c>
      <c r="AN42" s="5">
        <f t="shared" si="26"/>
        <v>0</v>
      </c>
      <c r="AO42" s="5">
        <f t="shared" si="26"/>
        <v>0</v>
      </c>
      <c r="AP42" s="5">
        <f t="shared" si="26"/>
        <v>0</v>
      </c>
      <c r="AQ42" s="5">
        <f t="shared" si="26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FLYNN</v>
      </c>
      <c r="AA44" s="250">
        <v>671.09</v>
      </c>
      <c r="AB44" s="250">
        <v>671.09</v>
      </c>
      <c r="AC44" s="250">
        <f>AC43+AA44</f>
        <v>671.09</v>
      </c>
      <c r="AD44" s="250"/>
      <c r="AE44" s="252" t="str">
        <f>IF(AC44&gt;$AG$4,0,IF(AC44&lt;AA45,"Exclude this candidate",0))</f>
        <v>Exclude this candidate</v>
      </c>
      <c r="AF44" s="250"/>
      <c r="AG44" s="250"/>
    </row>
    <row r="45" spans="4:75" ht="18" customHeight="1" x14ac:dyDescent="0.35">
      <c r="Z45" s="253" t="str">
        <v>PALMER</v>
      </c>
      <c r="AA45" s="250">
        <v>706.42</v>
      </c>
      <c r="AB45" s="250">
        <v>706.42</v>
      </c>
      <c r="AC45" s="250">
        <f>AC44+AA45</f>
        <v>1377.51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4:75" x14ac:dyDescent="0.25">
      <c r="Z46" s="253" t="str">
        <v>PORTER</v>
      </c>
      <c r="AA46" s="250">
        <v>921.15</v>
      </c>
      <c r="AB46" s="250">
        <v>921.15</v>
      </c>
      <c r="AC46" s="250">
        <f t="shared" ref="AC46:AC63" si="27">AC45+AA46</f>
        <v>2298.66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671.09</v>
      </c>
      <c r="AN46" s="2">
        <f>AN47+AL46</f>
        <v>706.42</v>
      </c>
      <c r="AP46" s="2">
        <f>AP47+AN46</f>
        <v>921.15</v>
      </c>
      <c r="AR46" s="2">
        <f>AR47+AP46</f>
        <v>949.27</v>
      </c>
      <c r="AS46" s="2"/>
      <c r="AU46" s="2">
        <f>AU47+AR46</f>
        <v>971.12</v>
      </c>
      <c r="AW46" s="2">
        <f>AW47+AU46</f>
        <v>1071</v>
      </c>
      <c r="AX46" s="2"/>
      <c r="BG46" t="s">
        <v>212</v>
      </c>
    </row>
    <row r="47" spans="4:75" x14ac:dyDescent="0.25">
      <c r="Z47" s="253" t="str">
        <v>KENNEDY</v>
      </c>
      <c r="AA47" s="250">
        <v>949.27</v>
      </c>
      <c r="AB47" s="250">
        <v>949.27</v>
      </c>
      <c r="AC47" s="250">
        <f t="shared" si="27"/>
        <v>3247.93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671.09</v>
      </c>
      <c r="AN47" s="2">
        <f>MIN(AN48:AN67)</f>
        <v>35.329999999999927</v>
      </c>
      <c r="AP47" s="2">
        <f>MIN(AP48:AP67)</f>
        <v>214.73000000000002</v>
      </c>
      <c r="AR47" s="2">
        <f>MIN(AR48:AR67)</f>
        <v>28.120000000000005</v>
      </c>
      <c r="AS47" s="2"/>
      <c r="AU47" s="2">
        <f>MIN(AU48:AU67)</f>
        <v>21.850000000000023</v>
      </c>
      <c r="AW47" s="2">
        <f>MIN(AW48:AW67)</f>
        <v>99.88</v>
      </c>
      <c r="AX47" s="2"/>
    </row>
    <row r="48" spans="4:75" ht="37.5" x14ac:dyDescent="0.25">
      <c r="Z48" s="253" t="str">
        <v>MITCHELL</v>
      </c>
      <c r="AA48" s="250">
        <v>971.12</v>
      </c>
      <c r="AB48" s="250">
        <v>971.12</v>
      </c>
      <c r="AC48" s="250">
        <f t="shared" si="27"/>
        <v>4219.05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8">Z14</f>
        <v>EWING</v>
      </c>
      <c r="AK48" s="2">
        <f t="shared" si="28"/>
        <v>1071</v>
      </c>
      <c r="AL48">
        <f>IF(AK48&lt;&gt;0,AK48,1000000)</f>
        <v>1071</v>
      </c>
      <c r="AM48" s="2">
        <f t="shared" ref="AM48:AM67" si="29">AL48-AL$47</f>
        <v>399.90999999999997</v>
      </c>
      <c r="AN48">
        <f>IF(AM48&lt;&gt;0,AM48,1000000)</f>
        <v>399.90999999999997</v>
      </c>
      <c r="AO48" s="2">
        <f t="shared" ref="AO48:AO67" si="30">AN48-AN$47</f>
        <v>364.58000000000004</v>
      </c>
      <c r="AP48">
        <f t="shared" ref="AP48:AP67" si="31">IF(AO48&lt;&gt;0,AO48,1000000)</f>
        <v>364.58000000000004</v>
      </c>
      <c r="AQ48" s="2">
        <f t="shared" ref="AQ48:AQ67" si="32">AP48-AP$47</f>
        <v>149.85000000000002</v>
      </c>
      <c r="AR48">
        <f t="shared" ref="AR48:AR67" si="33">IF(AQ48&lt;&gt;0,AQ48,1000000)</f>
        <v>149.85000000000002</v>
      </c>
      <c r="AT48" s="2">
        <f t="shared" ref="AT48:AT67" si="34">AR48-AR$47</f>
        <v>121.73000000000002</v>
      </c>
      <c r="AU48">
        <f t="shared" ref="AU48:AU67" si="35">IF(AT48&lt;&gt;0,AT48,1000000)</f>
        <v>121.73000000000002</v>
      </c>
      <c r="AV48" s="2">
        <f t="shared" ref="AV48:AV67" si="36">AU48-AU$47</f>
        <v>99.88</v>
      </c>
      <c r="AW48">
        <f t="shared" ref="AW48:AW67" si="37">IF(AV48&lt;&gt;0,AV48,1000000)</f>
        <v>99.88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W48" t="s">
        <v>218</v>
      </c>
    </row>
    <row r="49" spans="26:75" x14ac:dyDescent="0.25">
      <c r="Z49" s="253" t="str">
        <v>EWING</v>
      </c>
      <c r="AA49" s="250">
        <v>1071</v>
      </c>
      <c r="AB49" s="250">
        <v>1071</v>
      </c>
      <c r="AC49" s="250">
        <f t="shared" si="27"/>
        <v>5290.05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8"/>
        <v>FLYNN</v>
      </c>
      <c r="AK49" s="2">
        <f t="shared" si="28"/>
        <v>671.09</v>
      </c>
      <c r="AL49">
        <f t="shared" ref="AL49:AL67" si="38">IF(AK49&lt;&gt;0,AK49,1000000)</f>
        <v>671.09</v>
      </c>
      <c r="AM49" s="2">
        <f t="shared" si="29"/>
        <v>0</v>
      </c>
      <c r="AN49">
        <f t="shared" ref="AN49:AN67" si="39">IF(AM49&lt;&gt;0,AM49,1000000)</f>
        <v>1000000</v>
      </c>
      <c r="AO49" s="2">
        <f t="shared" si="30"/>
        <v>999964.67</v>
      </c>
      <c r="AP49">
        <f t="shared" si="31"/>
        <v>999964.67</v>
      </c>
      <c r="AQ49" s="2">
        <f t="shared" si="32"/>
        <v>999749.94000000006</v>
      </c>
      <c r="AR49">
        <f t="shared" si="33"/>
        <v>999749.94000000006</v>
      </c>
      <c r="AT49" s="2">
        <f t="shared" si="34"/>
        <v>999721.82000000007</v>
      </c>
      <c r="AU49">
        <f t="shared" si="35"/>
        <v>999721.82000000007</v>
      </c>
      <c r="AV49" s="2">
        <f t="shared" si="36"/>
        <v>999699.97000000009</v>
      </c>
      <c r="AW49">
        <f t="shared" si="37"/>
        <v>999699.97000000009</v>
      </c>
      <c r="BE49" s="5">
        <f>IF($BH5="y",$BE5,IF($BH6="y",$BE6,IF($BH7="y",$BE7,IF($BH8="y",$BE8,IF($BH9="y",$BE9,IF($BH10="y",$BE10,0))))))</f>
        <v>0</v>
      </c>
      <c r="BG49" s="125" t="str">
        <f t="shared" ref="BG49:BG68" si="40">BE5</f>
        <v>EWING</v>
      </c>
      <c r="BH49" s="126"/>
      <c r="BI49" s="5">
        <f t="shared" ref="BI49:BI68" si="41">IF(BE5=0,0,IF(BE5=BA$8,-BC$12,0))</f>
        <v>0</v>
      </c>
      <c r="BJ49" s="5">
        <f t="shared" ref="BJ49:BJ68" si="42">BN49</f>
        <v>0</v>
      </c>
      <c r="BK49" s="5">
        <f t="shared" ref="BK49:BK68" si="43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GIVAN</v>
      </c>
      <c r="AA50" s="250">
        <v>1071</v>
      </c>
      <c r="AB50" s="250">
        <v>1071</v>
      </c>
      <c r="AC50" s="250">
        <f t="shared" si="27"/>
        <v>6361.05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8"/>
        <v>FRENCH</v>
      </c>
      <c r="AK50" s="2">
        <f t="shared" si="28"/>
        <v>0</v>
      </c>
      <c r="AL50">
        <f t="shared" si="38"/>
        <v>1000000</v>
      </c>
      <c r="AM50" s="2">
        <f t="shared" si="29"/>
        <v>999328.91</v>
      </c>
      <c r="AN50">
        <f t="shared" si="39"/>
        <v>999328.91</v>
      </c>
      <c r="AO50" s="2">
        <f t="shared" si="30"/>
        <v>999293.58000000007</v>
      </c>
      <c r="AP50">
        <f t="shared" si="31"/>
        <v>999293.58000000007</v>
      </c>
      <c r="AQ50" s="2">
        <f t="shared" si="32"/>
        <v>999078.85000000009</v>
      </c>
      <c r="AR50">
        <f t="shared" si="33"/>
        <v>999078.85000000009</v>
      </c>
      <c r="AT50" s="2">
        <f t="shared" si="34"/>
        <v>999050.7300000001</v>
      </c>
      <c r="AU50">
        <f t="shared" si="35"/>
        <v>999050.7300000001</v>
      </c>
      <c r="AV50" s="2">
        <f t="shared" si="36"/>
        <v>999028.88000000012</v>
      </c>
      <c r="AW50">
        <f t="shared" si="37"/>
        <v>999028.88000000012</v>
      </c>
      <c r="BE50" s="5">
        <f>IF($BH11="y",$BE11,IF($BH12="y",$BE12,IF($BH13="y",$BE13,IF($BH14="y",$BE14,IF($BH15="y",$BE15,IF($BH16="y",$BE16,0))))))</f>
        <v>0</v>
      </c>
      <c r="BG50" s="127" t="str">
        <f t="shared" si="40"/>
        <v>FLYNN</v>
      </c>
      <c r="BH50" s="128"/>
      <c r="BI50" s="5">
        <f t="shared" si="41"/>
        <v>0</v>
      </c>
      <c r="BJ50" s="5">
        <f t="shared" si="42"/>
        <v>-671.09</v>
      </c>
      <c r="BK50" s="5">
        <f t="shared" si="43"/>
        <v>-671.09</v>
      </c>
      <c r="BN50" s="5">
        <f t="shared" ref="BN50:BN68" si="44">IF(BP9="y",-BO9,0)</f>
        <v>-671.09</v>
      </c>
      <c r="BW50" s="5">
        <f t="shared" ref="BW50:BW68" si="45">IF(BP9="y",BO9,0)</f>
        <v>671.09</v>
      </c>
    </row>
    <row r="51" spans="26:75" ht="12.75" customHeight="1" x14ac:dyDescent="0.25">
      <c r="Z51" s="253" t="str">
        <v>GREHAN</v>
      </c>
      <c r="AA51" s="250">
        <v>1071</v>
      </c>
      <c r="AB51" s="250">
        <v>1071</v>
      </c>
      <c r="AC51" s="250">
        <f t="shared" si="27"/>
        <v>7432.05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8"/>
        <v>GIVAN</v>
      </c>
      <c r="AK51" s="2">
        <f t="shared" si="28"/>
        <v>1071</v>
      </c>
      <c r="AL51">
        <f t="shared" si="38"/>
        <v>1071</v>
      </c>
      <c r="AM51" s="2">
        <f t="shared" si="29"/>
        <v>399.90999999999997</v>
      </c>
      <c r="AN51">
        <f t="shared" si="39"/>
        <v>399.90999999999997</v>
      </c>
      <c r="AO51" s="2">
        <f t="shared" si="30"/>
        <v>364.58000000000004</v>
      </c>
      <c r="AP51">
        <f t="shared" si="31"/>
        <v>364.58000000000004</v>
      </c>
      <c r="AQ51" s="2">
        <f t="shared" si="32"/>
        <v>149.85000000000002</v>
      </c>
      <c r="AR51">
        <f t="shared" si="33"/>
        <v>149.85000000000002</v>
      </c>
      <c r="AT51" s="2">
        <f t="shared" si="34"/>
        <v>121.73000000000002</v>
      </c>
      <c r="AU51">
        <f t="shared" si="35"/>
        <v>121.73000000000002</v>
      </c>
      <c r="AV51" s="2">
        <f t="shared" si="36"/>
        <v>99.88</v>
      </c>
      <c r="AW51">
        <f t="shared" si="37"/>
        <v>99.88</v>
      </c>
      <c r="BE51" s="5">
        <f>IF($BH17="y",$BE17,IF($BH18="y",$BE18,IF($BH19="y",$BE19,IF($BH20="y",$BE20,IF($BH21="y",$BE21,IF($BH22="y",$BE22,0))))))</f>
        <v>0</v>
      </c>
      <c r="BG51" s="127" t="str">
        <f t="shared" si="40"/>
        <v>FRENCH</v>
      </c>
      <c r="BH51" s="128"/>
      <c r="BI51" s="5">
        <f t="shared" si="41"/>
        <v>0</v>
      </c>
      <c r="BJ51" s="5">
        <f t="shared" si="42"/>
        <v>0</v>
      </c>
      <c r="BK51" s="5">
        <f t="shared" si="43"/>
        <v>0</v>
      </c>
      <c r="BN51" s="5">
        <f t="shared" si="44"/>
        <v>0</v>
      </c>
      <c r="BW51" s="5">
        <f t="shared" si="45"/>
        <v>0</v>
      </c>
    </row>
    <row r="52" spans="26:75" x14ac:dyDescent="0.25">
      <c r="Z52" s="253" t="str">
        <v>FRENCH</v>
      </c>
      <c r="AA52" s="250">
        <v>0</v>
      </c>
      <c r="AB52" s="250">
        <v>1000000</v>
      </c>
      <c r="AC52" s="250">
        <f t="shared" si="27"/>
        <v>7432.05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8"/>
        <v>GREHAN</v>
      </c>
      <c r="AK52" s="2">
        <f t="shared" si="28"/>
        <v>1071</v>
      </c>
      <c r="AL52">
        <f t="shared" si="38"/>
        <v>1071</v>
      </c>
      <c r="AM52" s="2">
        <f t="shared" si="29"/>
        <v>399.90999999999997</v>
      </c>
      <c r="AN52">
        <f t="shared" si="39"/>
        <v>399.90999999999997</v>
      </c>
      <c r="AO52" s="2">
        <f t="shared" si="30"/>
        <v>364.58000000000004</v>
      </c>
      <c r="AP52">
        <f t="shared" si="31"/>
        <v>364.58000000000004</v>
      </c>
      <c r="AQ52" s="2">
        <f t="shared" si="32"/>
        <v>149.85000000000002</v>
      </c>
      <c r="AR52">
        <f t="shared" si="33"/>
        <v>149.85000000000002</v>
      </c>
      <c r="AT52" s="2">
        <f t="shared" si="34"/>
        <v>121.73000000000002</v>
      </c>
      <c r="AU52">
        <f t="shared" si="35"/>
        <v>121.73000000000002</v>
      </c>
      <c r="AV52" s="2">
        <f t="shared" si="36"/>
        <v>99.88</v>
      </c>
      <c r="AW52">
        <f t="shared" si="37"/>
        <v>99.88</v>
      </c>
      <c r="BE52" s="5">
        <f>IF($BH23="y",$BE23,IF($BH24="y",$BE24,0))</f>
        <v>0</v>
      </c>
      <c r="BG52" s="127" t="str">
        <f t="shared" si="40"/>
        <v>GIVAN</v>
      </c>
      <c r="BH52" s="128"/>
      <c r="BI52" s="5">
        <f t="shared" si="41"/>
        <v>0</v>
      </c>
      <c r="BJ52" s="5">
        <f t="shared" si="42"/>
        <v>0</v>
      </c>
      <c r="BK52" s="5">
        <f t="shared" si="43"/>
        <v>0</v>
      </c>
      <c r="BN52" s="5">
        <f t="shared" si="44"/>
        <v>0</v>
      </c>
      <c r="BW52" s="5">
        <f t="shared" si="45"/>
        <v>0</v>
      </c>
    </row>
    <row r="53" spans="26:75" x14ac:dyDescent="0.25">
      <c r="Z53" s="253" t="str">
        <v>MCEVOY</v>
      </c>
      <c r="AA53" s="250">
        <v>0</v>
      </c>
      <c r="AB53" s="250">
        <v>1000000</v>
      </c>
      <c r="AC53" s="250">
        <f t="shared" si="27"/>
        <v>7432.05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8"/>
        <v>KENNEDY</v>
      </c>
      <c r="AK53" s="2">
        <f t="shared" si="28"/>
        <v>949.27</v>
      </c>
      <c r="AL53">
        <f t="shared" si="38"/>
        <v>949.27</v>
      </c>
      <c r="AM53" s="2">
        <f t="shared" si="29"/>
        <v>278.17999999999995</v>
      </c>
      <c r="AN53">
        <f t="shared" si="39"/>
        <v>278.17999999999995</v>
      </c>
      <c r="AO53" s="2">
        <f t="shared" si="30"/>
        <v>242.85000000000002</v>
      </c>
      <c r="AP53">
        <f t="shared" si="31"/>
        <v>242.85000000000002</v>
      </c>
      <c r="AQ53" s="2">
        <f t="shared" si="32"/>
        <v>28.120000000000005</v>
      </c>
      <c r="AR53">
        <f t="shared" si="33"/>
        <v>28.120000000000005</v>
      </c>
      <c r="AT53" s="2">
        <f t="shared" si="34"/>
        <v>0</v>
      </c>
      <c r="AU53">
        <f t="shared" si="35"/>
        <v>1000000</v>
      </c>
      <c r="AV53" s="2">
        <f t="shared" si="36"/>
        <v>999978.15</v>
      </c>
      <c r="AW53">
        <f t="shared" si="37"/>
        <v>999978.15</v>
      </c>
      <c r="BG53" s="127" t="str">
        <f t="shared" si="40"/>
        <v>GREHAN</v>
      </c>
      <c r="BH53" s="128"/>
      <c r="BI53" s="5">
        <f t="shared" si="41"/>
        <v>0</v>
      </c>
      <c r="BJ53" s="5">
        <f t="shared" si="42"/>
        <v>0</v>
      </c>
      <c r="BK53" s="5">
        <f t="shared" si="43"/>
        <v>0</v>
      </c>
      <c r="BN53" s="5">
        <f t="shared" si="44"/>
        <v>0</v>
      </c>
      <c r="BW53" s="5">
        <f t="shared" si="45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7"/>
        <v>7432.05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8"/>
        <v>MCEVOY</v>
      </c>
      <c r="AK54" s="2">
        <f t="shared" si="28"/>
        <v>0</v>
      </c>
      <c r="AL54">
        <f t="shared" si="38"/>
        <v>1000000</v>
      </c>
      <c r="AM54" s="2">
        <f t="shared" si="29"/>
        <v>999328.91</v>
      </c>
      <c r="AN54">
        <f t="shared" si="39"/>
        <v>999328.91</v>
      </c>
      <c r="AO54" s="2">
        <f t="shared" si="30"/>
        <v>999293.58000000007</v>
      </c>
      <c r="AP54">
        <f t="shared" si="31"/>
        <v>999293.58000000007</v>
      </c>
      <c r="AQ54" s="2">
        <f t="shared" si="32"/>
        <v>999078.85000000009</v>
      </c>
      <c r="AR54">
        <f t="shared" si="33"/>
        <v>999078.85000000009</v>
      </c>
      <c r="AT54" s="2">
        <f t="shared" si="34"/>
        <v>999050.7300000001</v>
      </c>
      <c r="AU54">
        <f t="shared" si="35"/>
        <v>999050.7300000001</v>
      </c>
      <c r="AV54" s="2">
        <f t="shared" si="36"/>
        <v>999028.88000000012</v>
      </c>
      <c r="AW54">
        <f t="shared" si="37"/>
        <v>999028.88000000012</v>
      </c>
      <c r="BG54" s="127" t="str">
        <f t="shared" si="40"/>
        <v>KENNEDY</v>
      </c>
      <c r="BH54" s="128"/>
      <c r="BI54" s="5">
        <f t="shared" si="41"/>
        <v>0</v>
      </c>
      <c r="BJ54" s="5">
        <f t="shared" si="42"/>
        <v>0</v>
      </c>
      <c r="BK54" s="5">
        <f t="shared" si="43"/>
        <v>375</v>
      </c>
      <c r="BN54" s="5">
        <f t="shared" si="44"/>
        <v>0</v>
      </c>
      <c r="BW54" s="5">
        <f t="shared" si="45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7"/>
        <v>7432.05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8"/>
        <v>MITCHELL</v>
      </c>
      <c r="AK55" s="2">
        <f t="shared" si="28"/>
        <v>971.12</v>
      </c>
      <c r="AL55">
        <f t="shared" si="38"/>
        <v>971.12</v>
      </c>
      <c r="AM55" s="2">
        <f t="shared" si="29"/>
        <v>300.02999999999997</v>
      </c>
      <c r="AN55">
        <f t="shared" si="39"/>
        <v>300.02999999999997</v>
      </c>
      <c r="AO55" s="2">
        <f t="shared" si="30"/>
        <v>264.70000000000005</v>
      </c>
      <c r="AP55">
        <f t="shared" si="31"/>
        <v>264.70000000000005</v>
      </c>
      <c r="AQ55" s="2">
        <f t="shared" si="32"/>
        <v>49.970000000000027</v>
      </c>
      <c r="AR55">
        <f t="shared" si="33"/>
        <v>49.970000000000027</v>
      </c>
      <c r="AT55" s="2">
        <f t="shared" si="34"/>
        <v>21.850000000000023</v>
      </c>
      <c r="AU55">
        <f t="shared" si="35"/>
        <v>21.850000000000023</v>
      </c>
      <c r="AV55" s="2">
        <f t="shared" si="36"/>
        <v>0</v>
      </c>
      <c r="AW55">
        <f t="shared" si="37"/>
        <v>1000000</v>
      </c>
      <c r="BG55" s="127" t="str">
        <f t="shared" si="40"/>
        <v>MCEVOY</v>
      </c>
      <c r="BH55" s="128"/>
      <c r="BI55" s="5">
        <f t="shared" si="41"/>
        <v>0</v>
      </c>
      <c r="BJ55" s="5">
        <f t="shared" si="42"/>
        <v>0</v>
      </c>
      <c r="BK55" s="5">
        <f t="shared" si="43"/>
        <v>0</v>
      </c>
      <c r="BN55" s="5">
        <f t="shared" si="44"/>
        <v>0</v>
      </c>
      <c r="BW55" s="5">
        <f t="shared" si="45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7"/>
        <v>7432.05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8"/>
        <v>PALMER</v>
      </c>
      <c r="AK56" s="2">
        <f t="shared" si="28"/>
        <v>706.42</v>
      </c>
      <c r="AL56">
        <f t="shared" si="38"/>
        <v>706.42</v>
      </c>
      <c r="AM56" s="2">
        <f t="shared" si="29"/>
        <v>35.329999999999927</v>
      </c>
      <c r="AN56">
        <f t="shared" si="39"/>
        <v>35.329999999999927</v>
      </c>
      <c r="AO56" s="2">
        <f t="shared" si="30"/>
        <v>0</v>
      </c>
      <c r="AP56">
        <f t="shared" si="31"/>
        <v>1000000</v>
      </c>
      <c r="AQ56" s="2">
        <f t="shared" si="32"/>
        <v>999785.27</v>
      </c>
      <c r="AR56">
        <f t="shared" si="33"/>
        <v>999785.27</v>
      </c>
      <c r="AT56" s="2">
        <f t="shared" si="34"/>
        <v>999757.15</v>
      </c>
      <c r="AU56">
        <f t="shared" si="35"/>
        <v>999757.15</v>
      </c>
      <c r="AV56" s="2">
        <f t="shared" si="36"/>
        <v>999735.3</v>
      </c>
      <c r="AW56">
        <f t="shared" si="37"/>
        <v>999735.3</v>
      </c>
      <c r="BG56" s="127" t="str">
        <f t="shared" si="40"/>
        <v>MITCHELL</v>
      </c>
      <c r="BH56" s="128"/>
      <c r="BI56" s="5">
        <f t="shared" si="41"/>
        <v>0</v>
      </c>
      <c r="BJ56" s="5">
        <f t="shared" si="42"/>
        <v>0</v>
      </c>
      <c r="BK56" s="5">
        <f t="shared" si="43"/>
        <v>36.170000000000009</v>
      </c>
      <c r="BN56" s="5">
        <f t="shared" si="44"/>
        <v>0</v>
      </c>
      <c r="BW56" s="5">
        <f t="shared" si="45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7"/>
        <v>7432.05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8"/>
        <v>PORTER</v>
      </c>
      <c r="AK57" s="2">
        <f t="shared" si="28"/>
        <v>921.15</v>
      </c>
      <c r="AL57">
        <f t="shared" si="38"/>
        <v>921.15</v>
      </c>
      <c r="AM57" s="2">
        <f t="shared" si="29"/>
        <v>250.05999999999995</v>
      </c>
      <c r="AN57">
        <f t="shared" si="39"/>
        <v>250.05999999999995</v>
      </c>
      <c r="AO57" s="2">
        <f t="shared" si="30"/>
        <v>214.73000000000002</v>
      </c>
      <c r="AP57">
        <f t="shared" si="31"/>
        <v>214.73000000000002</v>
      </c>
      <c r="AQ57" s="2">
        <f t="shared" si="32"/>
        <v>0</v>
      </c>
      <c r="AR57">
        <f t="shared" si="33"/>
        <v>1000000</v>
      </c>
      <c r="AT57" s="2">
        <f t="shared" si="34"/>
        <v>999971.88</v>
      </c>
      <c r="AU57">
        <f t="shared" si="35"/>
        <v>999971.88</v>
      </c>
      <c r="AV57" s="2">
        <f t="shared" si="36"/>
        <v>999950.03</v>
      </c>
      <c r="AW57">
        <f t="shared" si="37"/>
        <v>999950.03</v>
      </c>
      <c r="BG57" s="127" t="str">
        <f t="shared" si="40"/>
        <v>PALMER</v>
      </c>
      <c r="BH57" s="128"/>
      <c r="BI57" s="5">
        <f t="shared" si="41"/>
        <v>0</v>
      </c>
      <c r="BJ57" s="5">
        <f t="shared" si="42"/>
        <v>0</v>
      </c>
      <c r="BK57" s="5">
        <f t="shared" si="43"/>
        <v>21.06</v>
      </c>
      <c r="BN57" s="5">
        <f t="shared" si="44"/>
        <v>0</v>
      </c>
      <c r="BW57" s="5">
        <f t="shared" si="45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7"/>
        <v>7432.05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8"/>
        <v>0</v>
      </c>
      <c r="AK58" s="2">
        <f t="shared" si="28"/>
        <v>0</v>
      </c>
      <c r="AL58">
        <f t="shared" si="38"/>
        <v>1000000</v>
      </c>
      <c r="AM58" s="2">
        <f t="shared" si="29"/>
        <v>999328.91</v>
      </c>
      <c r="AN58">
        <f t="shared" si="39"/>
        <v>999328.91</v>
      </c>
      <c r="AO58" s="2">
        <f t="shared" si="30"/>
        <v>999293.58000000007</v>
      </c>
      <c r="AP58">
        <f t="shared" si="31"/>
        <v>999293.58000000007</v>
      </c>
      <c r="AQ58" s="2">
        <f t="shared" si="32"/>
        <v>999078.85000000009</v>
      </c>
      <c r="AR58">
        <f t="shared" si="33"/>
        <v>999078.85000000009</v>
      </c>
      <c r="AT58" s="2">
        <f t="shared" si="34"/>
        <v>999050.7300000001</v>
      </c>
      <c r="AU58">
        <f t="shared" si="35"/>
        <v>999050.7300000001</v>
      </c>
      <c r="AV58" s="2">
        <f t="shared" si="36"/>
        <v>999028.88000000012</v>
      </c>
      <c r="AW58">
        <f t="shared" si="37"/>
        <v>999028.88000000012</v>
      </c>
      <c r="BG58" s="127" t="str">
        <f t="shared" si="40"/>
        <v>PORTER</v>
      </c>
      <c r="BH58" s="128"/>
      <c r="BI58" s="5">
        <f t="shared" si="41"/>
        <v>0</v>
      </c>
      <c r="BJ58" s="5">
        <f t="shared" si="42"/>
        <v>0</v>
      </c>
      <c r="BK58" s="5">
        <f t="shared" si="43"/>
        <v>10.08</v>
      </c>
      <c r="BN58" s="5">
        <f t="shared" si="44"/>
        <v>0</v>
      </c>
      <c r="BW58" s="5">
        <f t="shared" si="45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7"/>
        <v>7432.05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8"/>
        <v>0</v>
      </c>
      <c r="AK59" s="2">
        <f t="shared" si="28"/>
        <v>0</v>
      </c>
      <c r="AL59">
        <f t="shared" si="38"/>
        <v>1000000</v>
      </c>
      <c r="AM59" s="2">
        <f t="shared" si="29"/>
        <v>999328.91</v>
      </c>
      <c r="AN59">
        <f t="shared" si="39"/>
        <v>999328.91</v>
      </c>
      <c r="AO59" s="2">
        <f t="shared" si="30"/>
        <v>999293.58000000007</v>
      </c>
      <c r="AP59">
        <f t="shared" si="31"/>
        <v>999293.58000000007</v>
      </c>
      <c r="AQ59" s="2">
        <f t="shared" si="32"/>
        <v>999078.85000000009</v>
      </c>
      <c r="AR59">
        <f t="shared" si="33"/>
        <v>999078.85000000009</v>
      </c>
      <c r="AT59" s="2">
        <f t="shared" si="34"/>
        <v>999050.7300000001</v>
      </c>
      <c r="AU59">
        <f t="shared" si="35"/>
        <v>999050.7300000001</v>
      </c>
      <c r="AV59" s="2">
        <f t="shared" si="36"/>
        <v>999028.88000000012</v>
      </c>
      <c r="AW59">
        <f t="shared" si="37"/>
        <v>999028.88000000012</v>
      </c>
      <c r="BG59" s="127">
        <f t="shared" si="40"/>
        <v>0</v>
      </c>
      <c r="BH59" s="128"/>
      <c r="BI59" s="5">
        <f t="shared" si="41"/>
        <v>0</v>
      </c>
      <c r="BJ59" s="5">
        <f t="shared" si="42"/>
        <v>0</v>
      </c>
      <c r="BK59" s="5">
        <f t="shared" si="43"/>
        <v>0</v>
      </c>
      <c r="BN59" s="5">
        <f t="shared" si="44"/>
        <v>0</v>
      </c>
      <c r="BW59" s="5">
        <f t="shared" si="45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7"/>
        <v>7432.05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8"/>
        <v>0</v>
      </c>
      <c r="AK60" s="2">
        <f t="shared" si="28"/>
        <v>0</v>
      </c>
      <c r="AL60">
        <f t="shared" si="38"/>
        <v>1000000</v>
      </c>
      <c r="AM60" s="2">
        <f t="shared" si="29"/>
        <v>999328.91</v>
      </c>
      <c r="AN60">
        <f t="shared" si="39"/>
        <v>999328.91</v>
      </c>
      <c r="AO60" s="2">
        <f t="shared" si="30"/>
        <v>999293.58000000007</v>
      </c>
      <c r="AP60">
        <f t="shared" si="31"/>
        <v>999293.58000000007</v>
      </c>
      <c r="AQ60" s="2">
        <f t="shared" si="32"/>
        <v>999078.85000000009</v>
      </c>
      <c r="AR60">
        <f t="shared" si="33"/>
        <v>999078.85000000009</v>
      </c>
      <c r="AT60" s="2">
        <f t="shared" si="34"/>
        <v>999050.7300000001</v>
      </c>
      <c r="AU60">
        <f t="shared" si="35"/>
        <v>999050.7300000001</v>
      </c>
      <c r="AV60" s="2">
        <f t="shared" si="36"/>
        <v>999028.88000000012</v>
      </c>
      <c r="AW60">
        <f t="shared" si="37"/>
        <v>999028.88000000012</v>
      </c>
      <c r="BG60" s="127">
        <f t="shared" si="40"/>
        <v>0</v>
      </c>
      <c r="BH60" s="128"/>
      <c r="BI60" s="5">
        <f t="shared" si="41"/>
        <v>0</v>
      </c>
      <c r="BJ60" s="5">
        <f t="shared" si="42"/>
        <v>0</v>
      </c>
      <c r="BK60" s="5">
        <f t="shared" si="43"/>
        <v>0</v>
      </c>
      <c r="BN60" s="5">
        <f t="shared" si="44"/>
        <v>0</v>
      </c>
      <c r="BW60" s="5">
        <f t="shared" si="45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7"/>
        <v>7432.05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8"/>
        <v>0</v>
      </c>
      <c r="AK61" s="2">
        <f t="shared" si="28"/>
        <v>0</v>
      </c>
      <c r="AL61">
        <f t="shared" si="38"/>
        <v>1000000</v>
      </c>
      <c r="AM61" s="2">
        <f t="shared" si="29"/>
        <v>999328.91</v>
      </c>
      <c r="AN61">
        <f t="shared" si="39"/>
        <v>999328.91</v>
      </c>
      <c r="AO61" s="2">
        <f t="shared" si="30"/>
        <v>999293.58000000007</v>
      </c>
      <c r="AP61">
        <f t="shared" si="31"/>
        <v>999293.58000000007</v>
      </c>
      <c r="AQ61" s="2">
        <f t="shared" si="32"/>
        <v>999078.85000000009</v>
      </c>
      <c r="AR61">
        <f t="shared" si="33"/>
        <v>999078.85000000009</v>
      </c>
      <c r="AT61" s="2">
        <f t="shared" si="34"/>
        <v>999050.7300000001</v>
      </c>
      <c r="AU61">
        <f t="shared" si="35"/>
        <v>999050.7300000001</v>
      </c>
      <c r="AV61" s="2">
        <f t="shared" si="36"/>
        <v>999028.88000000012</v>
      </c>
      <c r="AW61">
        <f t="shared" si="37"/>
        <v>999028.88000000012</v>
      </c>
      <c r="BG61" s="127">
        <f t="shared" si="40"/>
        <v>0</v>
      </c>
      <c r="BH61" s="128"/>
      <c r="BI61" s="5">
        <f t="shared" si="41"/>
        <v>0</v>
      </c>
      <c r="BJ61" s="5">
        <f t="shared" si="42"/>
        <v>0</v>
      </c>
      <c r="BK61" s="5">
        <f t="shared" si="43"/>
        <v>0</v>
      </c>
      <c r="BN61" s="5">
        <f t="shared" si="44"/>
        <v>0</v>
      </c>
      <c r="BW61" s="5">
        <f t="shared" si="45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7"/>
        <v>7432.05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8"/>
        <v>0</v>
      </c>
      <c r="AK62" s="2">
        <f t="shared" si="28"/>
        <v>0</v>
      </c>
      <c r="AL62">
        <f t="shared" si="38"/>
        <v>1000000</v>
      </c>
      <c r="AM62" s="2">
        <f t="shared" si="29"/>
        <v>999328.91</v>
      </c>
      <c r="AN62">
        <f t="shared" si="39"/>
        <v>999328.91</v>
      </c>
      <c r="AO62" s="2">
        <f t="shared" si="30"/>
        <v>999293.58000000007</v>
      </c>
      <c r="AP62">
        <f t="shared" si="31"/>
        <v>999293.58000000007</v>
      </c>
      <c r="AQ62" s="2">
        <f t="shared" si="32"/>
        <v>999078.85000000009</v>
      </c>
      <c r="AR62">
        <f t="shared" si="33"/>
        <v>999078.85000000009</v>
      </c>
      <c r="AT62" s="2">
        <f t="shared" si="34"/>
        <v>999050.7300000001</v>
      </c>
      <c r="AU62">
        <f t="shared" si="35"/>
        <v>999050.7300000001</v>
      </c>
      <c r="AV62" s="2">
        <f t="shared" si="36"/>
        <v>999028.88000000012</v>
      </c>
      <c r="AW62">
        <f t="shared" si="37"/>
        <v>999028.88000000012</v>
      </c>
      <c r="BG62" s="127">
        <f t="shared" si="40"/>
        <v>0</v>
      </c>
      <c r="BH62" s="128"/>
      <c r="BI62" s="5">
        <f t="shared" si="41"/>
        <v>0</v>
      </c>
      <c r="BJ62" s="5">
        <f t="shared" si="42"/>
        <v>0</v>
      </c>
      <c r="BK62" s="5">
        <f t="shared" si="43"/>
        <v>0</v>
      </c>
      <c r="BN62" s="5">
        <f t="shared" si="44"/>
        <v>0</v>
      </c>
      <c r="BW62" s="5">
        <f t="shared" si="45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7"/>
        <v>7432.05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8"/>
        <v>0</v>
      </c>
      <c r="AK63" s="2">
        <f t="shared" si="28"/>
        <v>0</v>
      </c>
      <c r="AL63">
        <f t="shared" si="38"/>
        <v>1000000</v>
      </c>
      <c r="AM63" s="2">
        <f t="shared" si="29"/>
        <v>999328.91</v>
      </c>
      <c r="AN63">
        <f t="shared" si="39"/>
        <v>999328.91</v>
      </c>
      <c r="AO63" s="2">
        <f t="shared" si="30"/>
        <v>999293.58000000007</v>
      </c>
      <c r="AP63">
        <f t="shared" si="31"/>
        <v>999293.58000000007</v>
      </c>
      <c r="AQ63" s="2">
        <f t="shared" si="32"/>
        <v>999078.85000000009</v>
      </c>
      <c r="AR63">
        <f t="shared" si="33"/>
        <v>999078.85000000009</v>
      </c>
      <c r="AT63" s="2">
        <f t="shared" si="34"/>
        <v>999050.7300000001</v>
      </c>
      <c r="AU63">
        <f t="shared" si="35"/>
        <v>999050.7300000001</v>
      </c>
      <c r="AV63" s="2">
        <f t="shared" si="36"/>
        <v>999028.88000000012</v>
      </c>
      <c r="AW63">
        <f t="shared" si="37"/>
        <v>999028.88000000012</v>
      </c>
      <c r="BG63" s="127">
        <f t="shared" si="40"/>
        <v>0</v>
      </c>
      <c r="BH63" s="128"/>
      <c r="BI63" s="5">
        <f t="shared" si="41"/>
        <v>0</v>
      </c>
      <c r="BJ63" s="5">
        <f t="shared" si="42"/>
        <v>0</v>
      </c>
      <c r="BK63" s="5">
        <f t="shared" si="43"/>
        <v>0</v>
      </c>
      <c r="BN63" s="5">
        <f t="shared" si="44"/>
        <v>0</v>
      </c>
      <c r="BW63" s="5">
        <f t="shared" si="45"/>
        <v>0</v>
      </c>
    </row>
    <row r="64" spans="26:75" ht="15" customHeight="1" x14ac:dyDescent="0.25">
      <c r="AJ64">
        <f t="shared" ref="AJ64:AK67" si="46">Z30</f>
        <v>0</v>
      </c>
      <c r="AK64" s="2">
        <f t="shared" si="46"/>
        <v>0</v>
      </c>
      <c r="AL64">
        <f t="shared" si="38"/>
        <v>1000000</v>
      </c>
      <c r="AM64" s="2">
        <f t="shared" si="29"/>
        <v>999328.91</v>
      </c>
      <c r="AN64">
        <f t="shared" si="39"/>
        <v>999328.91</v>
      </c>
      <c r="AO64" s="2">
        <f t="shared" si="30"/>
        <v>999293.58000000007</v>
      </c>
      <c r="AP64">
        <f t="shared" si="31"/>
        <v>999293.58000000007</v>
      </c>
      <c r="AQ64" s="2">
        <f t="shared" si="32"/>
        <v>999078.85000000009</v>
      </c>
      <c r="AR64">
        <f t="shared" si="33"/>
        <v>999078.85000000009</v>
      </c>
      <c r="AT64" s="2">
        <f t="shared" si="34"/>
        <v>999050.7300000001</v>
      </c>
      <c r="AU64">
        <f t="shared" si="35"/>
        <v>999050.7300000001</v>
      </c>
      <c r="AV64" s="2">
        <f t="shared" si="36"/>
        <v>999028.88000000012</v>
      </c>
      <c r="AW64">
        <f t="shared" si="37"/>
        <v>999028.88000000012</v>
      </c>
      <c r="BG64" s="127">
        <f t="shared" si="40"/>
        <v>0</v>
      </c>
      <c r="BH64" s="128"/>
      <c r="BI64" s="5">
        <f t="shared" si="41"/>
        <v>0</v>
      </c>
      <c r="BJ64" s="5">
        <f t="shared" si="42"/>
        <v>0</v>
      </c>
      <c r="BK64" s="5">
        <f t="shared" si="43"/>
        <v>0</v>
      </c>
      <c r="BN64" s="5">
        <f t="shared" si="44"/>
        <v>0</v>
      </c>
      <c r="BW64" s="5">
        <f t="shared" si="45"/>
        <v>0</v>
      </c>
    </row>
    <row r="65" spans="36:75" x14ac:dyDescent="0.25">
      <c r="AJ65">
        <f t="shared" si="46"/>
        <v>0</v>
      </c>
      <c r="AK65" s="2">
        <f t="shared" si="46"/>
        <v>0</v>
      </c>
      <c r="AL65">
        <f t="shared" si="38"/>
        <v>1000000</v>
      </c>
      <c r="AM65" s="2">
        <f t="shared" si="29"/>
        <v>999328.91</v>
      </c>
      <c r="AN65">
        <f t="shared" si="39"/>
        <v>999328.91</v>
      </c>
      <c r="AO65" s="2">
        <f t="shared" si="30"/>
        <v>999293.58000000007</v>
      </c>
      <c r="AP65">
        <f t="shared" si="31"/>
        <v>999293.58000000007</v>
      </c>
      <c r="AQ65" s="2">
        <f t="shared" si="32"/>
        <v>999078.85000000009</v>
      </c>
      <c r="AR65">
        <f t="shared" si="33"/>
        <v>999078.85000000009</v>
      </c>
      <c r="AT65" s="2">
        <f t="shared" si="34"/>
        <v>999050.7300000001</v>
      </c>
      <c r="AU65">
        <f t="shared" si="35"/>
        <v>999050.7300000001</v>
      </c>
      <c r="AV65" s="2">
        <f t="shared" si="36"/>
        <v>999028.88000000012</v>
      </c>
      <c r="AW65">
        <f t="shared" si="37"/>
        <v>999028.88000000012</v>
      </c>
      <c r="BG65" s="127">
        <f t="shared" si="40"/>
        <v>0</v>
      </c>
      <c r="BH65" s="128"/>
      <c r="BI65" s="5">
        <f t="shared" si="41"/>
        <v>0</v>
      </c>
      <c r="BJ65" s="5">
        <f t="shared" si="42"/>
        <v>0</v>
      </c>
      <c r="BK65" s="5">
        <f t="shared" si="43"/>
        <v>0</v>
      </c>
      <c r="BN65" s="5">
        <f t="shared" si="44"/>
        <v>0</v>
      </c>
      <c r="BW65" s="5">
        <f t="shared" si="45"/>
        <v>0</v>
      </c>
    </row>
    <row r="66" spans="36:75" ht="14.25" customHeight="1" x14ac:dyDescent="0.25">
      <c r="AJ66">
        <f t="shared" si="46"/>
        <v>0</v>
      </c>
      <c r="AK66" s="2">
        <f t="shared" si="46"/>
        <v>0</v>
      </c>
      <c r="AL66">
        <f t="shared" si="38"/>
        <v>1000000</v>
      </c>
      <c r="AM66" s="2">
        <f t="shared" si="29"/>
        <v>999328.91</v>
      </c>
      <c r="AN66">
        <f t="shared" si="39"/>
        <v>999328.91</v>
      </c>
      <c r="AO66" s="2">
        <f t="shared" si="30"/>
        <v>999293.58000000007</v>
      </c>
      <c r="AP66">
        <f t="shared" si="31"/>
        <v>999293.58000000007</v>
      </c>
      <c r="AQ66" s="2">
        <f t="shared" si="32"/>
        <v>999078.85000000009</v>
      </c>
      <c r="AR66">
        <f t="shared" si="33"/>
        <v>999078.85000000009</v>
      </c>
      <c r="AT66" s="2">
        <f t="shared" si="34"/>
        <v>999050.7300000001</v>
      </c>
      <c r="AU66">
        <f t="shared" si="35"/>
        <v>999050.7300000001</v>
      </c>
      <c r="AV66" s="2">
        <f t="shared" si="36"/>
        <v>999028.88000000012</v>
      </c>
      <c r="AW66">
        <f t="shared" si="37"/>
        <v>999028.88000000012</v>
      </c>
      <c r="BG66" s="127">
        <f t="shared" si="40"/>
        <v>0</v>
      </c>
      <c r="BH66" s="128"/>
      <c r="BI66" s="5">
        <f t="shared" si="41"/>
        <v>0</v>
      </c>
      <c r="BJ66" s="5">
        <f t="shared" si="42"/>
        <v>0</v>
      </c>
      <c r="BK66" s="5">
        <f t="shared" si="43"/>
        <v>0</v>
      </c>
      <c r="BN66" s="5">
        <f t="shared" si="44"/>
        <v>0</v>
      </c>
      <c r="BW66" s="5">
        <f t="shared" si="45"/>
        <v>0</v>
      </c>
    </row>
    <row r="67" spans="36:75" x14ac:dyDescent="0.25">
      <c r="AJ67">
        <f t="shared" si="46"/>
        <v>0</v>
      </c>
      <c r="AK67" s="2">
        <f t="shared" si="46"/>
        <v>0</v>
      </c>
      <c r="AL67">
        <f t="shared" si="38"/>
        <v>1000000</v>
      </c>
      <c r="AM67" s="2">
        <f t="shared" si="29"/>
        <v>999328.91</v>
      </c>
      <c r="AN67">
        <f t="shared" si="39"/>
        <v>999328.91</v>
      </c>
      <c r="AO67" s="2">
        <f t="shared" si="30"/>
        <v>999293.58000000007</v>
      </c>
      <c r="AP67">
        <f t="shared" si="31"/>
        <v>999293.58000000007</v>
      </c>
      <c r="AQ67" s="2">
        <f t="shared" si="32"/>
        <v>999078.85000000009</v>
      </c>
      <c r="AR67">
        <f t="shared" si="33"/>
        <v>999078.85000000009</v>
      </c>
      <c r="AT67" s="2">
        <f t="shared" si="34"/>
        <v>999050.7300000001</v>
      </c>
      <c r="AU67">
        <f t="shared" si="35"/>
        <v>999050.7300000001</v>
      </c>
      <c r="AV67" s="2">
        <f t="shared" si="36"/>
        <v>999028.88000000012</v>
      </c>
      <c r="AW67">
        <f t="shared" si="37"/>
        <v>999028.88000000012</v>
      </c>
      <c r="BG67" s="127">
        <f t="shared" si="40"/>
        <v>0</v>
      </c>
      <c r="BH67" s="128"/>
      <c r="BI67" s="5">
        <f t="shared" si="41"/>
        <v>0</v>
      </c>
      <c r="BJ67" s="5">
        <f t="shared" si="42"/>
        <v>0</v>
      </c>
      <c r="BK67" s="5">
        <f t="shared" si="43"/>
        <v>0</v>
      </c>
      <c r="BN67" s="5">
        <f t="shared" si="44"/>
        <v>0</v>
      </c>
      <c r="BW67" s="5">
        <f t="shared" si="45"/>
        <v>0</v>
      </c>
    </row>
    <row r="68" spans="36:75" x14ac:dyDescent="0.25">
      <c r="BG68" s="129">
        <f t="shared" si="40"/>
        <v>0</v>
      </c>
      <c r="BH68" s="130"/>
      <c r="BI68" s="5">
        <f t="shared" si="41"/>
        <v>0</v>
      </c>
      <c r="BJ68" s="5">
        <f t="shared" si="42"/>
        <v>0</v>
      </c>
      <c r="BK68" s="5">
        <f t="shared" si="43"/>
        <v>0</v>
      </c>
      <c r="BN68" s="5">
        <f t="shared" si="44"/>
        <v>0</v>
      </c>
      <c r="BW68" s="5">
        <f t="shared" si="45"/>
        <v>0</v>
      </c>
    </row>
    <row r="69" spans="36:75" ht="12.75" customHeight="1" x14ac:dyDescent="0.25">
      <c r="BG69" t="s">
        <v>219</v>
      </c>
      <c r="BI69" s="5">
        <f>BG26</f>
        <v>0</v>
      </c>
      <c r="BJ69" s="5">
        <f>CE28</f>
        <v>228.78</v>
      </c>
      <c r="BK69" s="5">
        <f>BI69+BJ69</f>
        <v>228.78</v>
      </c>
      <c r="BW69" s="5">
        <f>SUM(BW49:BW68)</f>
        <v>671.09</v>
      </c>
    </row>
    <row r="70" spans="36:75" x14ac:dyDescent="0.25">
      <c r="BK70" s="5">
        <f>BG27+CE29</f>
        <v>671.09</v>
      </c>
    </row>
    <row r="82" spans="41:46" x14ac:dyDescent="0.25">
      <c r="AO82" s="5">
        <f>IF(AO20&lt;&gt;0,1,0)</f>
        <v>1</v>
      </c>
      <c r="AP82" s="5"/>
      <c r="AQ82" s="5">
        <f t="shared" ref="AQ82:AR88" si="47">IF(AQ20&lt;&gt;0,1,0)</f>
        <v>0</v>
      </c>
      <c r="AR82" s="19">
        <f t="shared" si="47"/>
        <v>0</v>
      </c>
      <c r="AS82" s="19"/>
      <c r="AT82" s="5">
        <f>SUM(AO82:AR82)</f>
        <v>1</v>
      </c>
    </row>
    <row r="83" spans="41:46" x14ac:dyDescent="0.25">
      <c r="AO83" s="5">
        <f t="shared" ref="AO83:AO88" si="48">IF(AO21&lt;&gt;0,1,0)</f>
        <v>0</v>
      </c>
      <c r="AP83" s="5"/>
      <c r="AQ83" s="5">
        <f t="shared" si="47"/>
        <v>0</v>
      </c>
      <c r="AR83" s="19">
        <f t="shared" si="47"/>
        <v>0</v>
      </c>
      <c r="AS83" s="19"/>
      <c r="AT83" s="5">
        <f t="shared" ref="AT83:AT88" si="49">SUM(AO83:AR83)</f>
        <v>0</v>
      </c>
    </row>
    <row r="84" spans="41:46" x14ac:dyDescent="0.25">
      <c r="AO84" s="5">
        <f t="shared" si="48"/>
        <v>0</v>
      </c>
      <c r="AP84" s="5"/>
      <c r="AQ84" s="5">
        <f t="shared" si="47"/>
        <v>0</v>
      </c>
      <c r="AR84" s="19">
        <f t="shared" si="47"/>
        <v>0</v>
      </c>
      <c r="AS84" s="19"/>
      <c r="AT84" s="5">
        <f t="shared" si="49"/>
        <v>0</v>
      </c>
    </row>
    <row r="85" spans="41:46" x14ac:dyDescent="0.25">
      <c r="AO85" s="5">
        <f t="shared" si="48"/>
        <v>0</v>
      </c>
      <c r="AP85" s="5"/>
      <c r="AQ85" s="5">
        <f t="shared" si="47"/>
        <v>0</v>
      </c>
      <c r="AR85" s="19">
        <f t="shared" si="47"/>
        <v>0</v>
      </c>
      <c r="AS85" s="19"/>
      <c r="AT85" s="5">
        <f t="shared" si="49"/>
        <v>0</v>
      </c>
    </row>
    <row r="86" spans="41:46" x14ac:dyDescent="0.25">
      <c r="AO86" s="5">
        <f t="shared" si="48"/>
        <v>0</v>
      </c>
      <c r="AP86" s="5"/>
      <c r="AQ86" s="5">
        <f t="shared" si="47"/>
        <v>0</v>
      </c>
      <c r="AR86" s="19">
        <f t="shared" si="47"/>
        <v>0</v>
      </c>
      <c r="AS86" s="19"/>
      <c r="AT86" s="5">
        <f t="shared" si="49"/>
        <v>0</v>
      </c>
    </row>
    <row r="87" spans="41:46" x14ac:dyDescent="0.25">
      <c r="AO87" s="5">
        <f t="shared" si="48"/>
        <v>0</v>
      </c>
      <c r="AP87" s="5"/>
      <c r="AQ87" s="5">
        <f t="shared" si="47"/>
        <v>0</v>
      </c>
      <c r="AR87" s="19">
        <f t="shared" si="47"/>
        <v>0</v>
      </c>
      <c r="AS87" s="19"/>
      <c r="AT87" s="5">
        <f t="shared" si="49"/>
        <v>0</v>
      </c>
    </row>
    <row r="88" spans="41:46" x14ac:dyDescent="0.25">
      <c r="AO88" s="5">
        <f t="shared" si="48"/>
        <v>0</v>
      </c>
      <c r="AP88" s="5"/>
      <c r="AQ88" s="5">
        <f t="shared" si="47"/>
        <v>0</v>
      </c>
      <c r="AR88" s="19">
        <f t="shared" si="47"/>
        <v>0</v>
      </c>
      <c r="AS88" s="19"/>
      <c r="AT88" s="5">
        <f t="shared" si="49"/>
        <v>0</v>
      </c>
    </row>
    <row r="89" spans="41:46" x14ac:dyDescent="0.25">
      <c r="AT89" s="5">
        <f>SUM(AT82:AT88)</f>
        <v>1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253</v>
      </c>
      <c r="DF210" s="231" t="s">
        <v>221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P11</f>
        <v>0</v>
      </c>
      <c r="DF211" s="233">
        <f>Q11</f>
        <v>1071</v>
      </c>
    </row>
    <row r="212" spans="105:110" ht="15.5" x14ac:dyDescent="0.35">
      <c r="DA212" s="232" t="str">
        <f t="shared" ref="DA212:DA230" si="50">IF(A12="Elected","E",IF(A12="Excluded","Excluded",""))&amp;IF(B12&gt;0,B12,"")</f>
        <v>Excluded</v>
      </c>
      <c r="DB212" s="232" t="str">
        <f t="shared" ref="DB212:DD227" si="51">C12</f>
        <v>FLYNN</v>
      </c>
      <c r="DC212" s="232" t="str">
        <f t="shared" si="51"/>
        <v>Sinn Féin</v>
      </c>
      <c r="DD212" s="233">
        <f t="shared" si="51"/>
        <v>493</v>
      </c>
      <c r="DE212" s="233">
        <f t="shared" ref="DE212:DF212" si="52">P12</f>
        <v>-671.09</v>
      </c>
      <c r="DF212" s="233">
        <f t="shared" si="52"/>
        <v>0</v>
      </c>
    </row>
    <row r="213" spans="105:110" ht="15.5" x14ac:dyDescent="0.35">
      <c r="DA213" s="232" t="str">
        <f t="shared" si="50"/>
        <v>Excluded</v>
      </c>
      <c r="DB213" s="232" t="str">
        <f t="shared" si="51"/>
        <v>FRENCH</v>
      </c>
      <c r="DC213" s="232" t="str">
        <f t="shared" si="51"/>
        <v xml:space="preserve">SDLP </v>
      </c>
      <c r="DD213" s="233">
        <f t="shared" si="51"/>
        <v>472</v>
      </c>
      <c r="DE213" s="233">
        <f t="shared" ref="DE213:DF213" si="53">P13</f>
        <v>0</v>
      </c>
      <c r="DF213" s="233">
        <f t="shared" si="53"/>
        <v>0</v>
      </c>
    </row>
    <row r="214" spans="105:110" ht="15.5" x14ac:dyDescent="0.35">
      <c r="DA214" s="232" t="str">
        <f t="shared" si="50"/>
        <v>E3</v>
      </c>
      <c r="DB214" s="232" t="str">
        <f t="shared" si="51"/>
        <v>GIVAN</v>
      </c>
      <c r="DC214" s="232" t="str">
        <f t="shared" si="51"/>
        <v>D.U.P.</v>
      </c>
      <c r="DD214" s="233">
        <f t="shared" si="51"/>
        <v>1038</v>
      </c>
      <c r="DE214" s="233">
        <f t="shared" ref="DE214:DF214" si="54">P14</f>
        <v>0</v>
      </c>
      <c r="DF214" s="233">
        <f t="shared" si="54"/>
        <v>1071</v>
      </c>
    </row>
    <row r="215" spans="105:110" ht="15.5" x14ac:dyDescent="0.35">
      <c r="DA215" s="232" t="str">
        <f t="shared" si="50"/>
        <v>E2</v>
      </c>
      <c r="DB215" s="232" t="str">
        <f t="shared" si="51"/>
        <v>GREHAN</v>
      </c>
      <c r="DC215" s="232" t="str">
        <f t="shared" si="51"/>
        <v>Alliance Party</v>
      </c>
      <c r="DD215" s="233">
        <f t="shared" si="51"/>
        <v>1111</v>
      </c>
      <c r="DE215" s="233">
        <f t="shared" ref="DE215:DF215" si="55">P15</f>
        <v>0</v>
      </c>
      <c r="DF215" s="233">
        <f t="shared" si="55"/>
        <v>1071</v>
      </c>
    </row>
    <row r="216" spans="105:110" ht="15.5" x14ac:dyDescent="0.35">
      <c r="DA216" s="232" t="str">
        <f t="shared" si="50"/>
        <v>E4</v>
      </c>
      <c r="DB216" s="232" t="str">
        <f t="shared" si="51"/>
        <v>KENNEDY</v>
      </c>
      <c r="DC216" s="232" t="str">
        <f t="shared" si="51"/>
        <v>Alliance Party</v>
      </c>
      <c r="DD216" s="233">
        <f t="shared" si="51"/>
        <v>674</v>
      </c>
      <c r="DE216" s="233">
        <f t="shared" ref="DE216:DF216" si="56">P16</f>
        <v>375</v>
      </c>
      <c r="DF216" s="233">
        <f t="shared" si="56"/>
        <v>1324.27</v>
      </c>
    </row>
    <row r="217" spans="105:110" ht="15.5" x14ac:dyDescent="0.35">
      <c r="DA217" s="232" t="str">
        <f t="shared" si="50"/>
        <v>Excluded</v>
      </c>
      <c r="DB217" s="232" t="str">
        <f t="shared" si="51"/>
        <v>MCEVOY</v>
      </c>
      <c r="DC217" s="232" t="str">
        <f t="shared" si="51"/>
        <v xml:space="preserve">TUV </v>
      </c>
      <c r="DD217" s="233">
        <f t="shared" si="51"/>
        <v>387</v>
      </c>
      <c r="DE217" s="233">
        <f t="shared" ref="DE217:DF217" si="57">P17</f>
        <v>0</v>
      </c>
      <c r="DF217" s="233">
        <f t="shared" si="57"/>
        <v>0</v>
      </c>
    </row>
    <row r="218" spans="105:110" ht="15.5" x14ac:dyDescent="0.35">
      <c r="DA218" s="232" t="str">
        <f t="shared" si="50"/>
        <v/>
      </c>
      <c r="DB218" s="232" t="str">
        <f t="shared" si="51"/>
        <v>MITCHELL</v>
      </c>
      <c r="DC218" s="232" t="str">
        <f t="shared" si="51"/>
        <v>UUP</v>
      </c>
      <c r="DD218" s="233">
        <f t="shared" si="51"/>
        <v>870</v>
      </c>
      <c r="DE218" s="233">
        <f t="shared" ref="DE218:DF218" si="58">P18</f>
        <v>36.170000000000009</v>
      </c>
      <c r="DF218" s="233">
        <f t="shared" si="58"/>
        <v>1007.29</v>
      </c>
    </row>
    <row r="219" spans="105:110" ht="15.5" x14ac:dyDescent="0.35">
      <c r="DA219" s="232" t="str">
        <f t="shared" si="50"/>
        <v/>
      </c>
      <c r="DB219" s="232" t="str">
        <f t="shared" si="51"/>
        <v>PALMER</v>
      </c>
      <c r="DC219" s="232" t="str">
        <f t="shared" si="51"/>
        <v>UUP</v>
      </c>
      <c r="DD219" s="233">
        <f t="shared" si="51"/>
        <v>625</v>
      </c>
      <c r="DE219" s="233">
        <f t="shared" ref="DE219:DF219" si="59">P19</f>
        <v>21.06</v>
      </c>
      <c r="DF219" s="233">
        <f t="shared" si="59"/>
        <v>727.4799999999999</v>
      </c>
    </row>
    <row r="220" spans="105:110" ht="15.5" x14ac:dyDescent="0.35">
      <c r="DA220" s="232" t="str">
        <f t="shared" si="50"/>
        <v/>
      </c>
      <c r="DB220" s="232" t="str">
        <f t="shared" si="51"/>
        <v>PORTER</v>
      </c>
      <c r="DC220" s="232" t="str">
        <f t="shared" si="51"/>
        <v>D.U.P.</v>
      </c>
      <c r="DD220" s="233">
        <f t="shared" si="51"/>
        <v>687</v>
      </c>
      <c r="DE220" s="233">
        <f t="shared" ref="DE220:DF220" si="60">P20</f>
        <v>10.08</v>
      </c>
      <c r="DF220" s="233">
        <f t="shared" si="60"/>
        <v>931.23</v>
      </c>
    </row>
    <row r="221" spans="105:110" ht="15.5" x14ac:dyDescent="0.35">
      <c r="DA221" s="232" t="str">
        <f t="shared" si="50"/>
        <v/>
      </c>
      <c r="DB221" s="232">
        <f t="shared" si="51"/>
        <v>0</v>
      </c>
      <c r="DC221" s="232">
        <f t="shared" si="51"/>
        <v>0</v>
      </c>
      <c r="DD221" s="233">
        <f t="shared" si="51"/>
        <v>0</v>
      </c>
      <c r="DE221" s="233">
        <f t="shared" ref="DE221:DF221" si="61">P21</f>
        <v>0</v>
      </c>
      <c r="DF221" s="233">
        <f t="shared" si="61"/>
        <v>0</v>
      </c>
    </row>
    <row r="222" spans="105:110" ht="15.5" x14ac:dyDescent="0.35">
      <c r="DA222" s="232" t="str">
        <f t="shared" si="50"/>
        <v/>
      </c>
      <c r="DB222" s="232">
        <f t="shared" si="51"/>
        <v>0</v>
      </c>
      <c r="DC222" s="232">
        <f t="shared" si="51"/>
        <v>0</v>
      </c>
      <c r="DD222" s="233">
        <f t="shared" si="51"/>
        <v>0</v>
      </c>
      <c r="DE222" s="233">
        <f t="shared" ref="DE222:DF222" si="62">P22</f>
        <v>0</v>
      </c>
      <c r="DF222" s="233">
        <f t="shared" si="62"/>
        <v>0</v>
      </c>
    </row>
    <row r="223" spans="105:110" ht="15.5" x14ac:dyDescent="0.35">
      <c r="DA223" s="232" t="str">
        <f t="shared" si="50"/>
        <v/>
      </c>
      <c r="DB223" s="232">
        <f t="shared" si="51"/>
        <v>0</v>
      </c>
      <c r="DC223" s="232">
        <f t="shared" si="51"/>
        <v>0</v>
      </c>
      <c r="DD223" s="233">
        <f t="shared" si="51"/>
        <v>0</v>
      </c>
      <c r="DE223" s="233">
        <f t="shared" ref="DE223:DF223" si="63">P23</f>
        <v>0</v>
      </c>
      <c r="DF223" s="233">
        <f t="shared" si="63"/>
        <v>0</v>
      </c>
    </row>
    <row r="224" spans="105:110" ht="15.5" x14ac:dyDescent="0.35">
      <c r="DA224" s="232" t="str">
        <f t="shared" si="50"/>
        <v/>
      </c>
      <c r="DB224" s="232">
        <f t="shared" si="51"/>
        <v>0</v>
      </c>
      <c r="DC224" s="232">
        <f t="shared" si="51"/>
        <v>0</v>
      </c>
      <c r="DD224" s="233">
        <f t="shared" si="51"/>
        <v>0</v>
      </c>
      <c r="DE224" s="233">
        <f t="shared" ref="DE224:DF224" si="64">P24</f>
        <v>0</v>
      </c>
      <c r="DF224" s="233">
        <f t="shared" si="64"/>
        <v>0</v>
      </c>
    </row>
    <row r="225" spans="105:110" ht="15.5" x14ac:dyDescent="0.35">
      <c r="DA225" s="232" t="str">
        <f t="shared" si="50"/>
        <v/>
      </c>
      <c r="DB225" s="232">
        <f t="shared" si="51"/>
        <v>0</v>
      </c>
      <c r="DC225" s="232">
        <f t="shared" si="51"/>
        <v>0</v>
      </c>
      <c r="DD225" s="233">
        <f t="shared" si="51"/>
        <v>0</v>
      </c>
      <c r="DE225" s="233">
        <f t="shared" ref="DE225:DF225" si="65">P25</f>
        <v>0</v>
      </c>
      <c r="DF225" s="233">
        <f t="shared" si="65"/>
        <v>0</v>
      </c>
    </row>
    <row r="226" spans="105:110" ht="15.5" x14ac:dyDescent="0.35">
      <c r="DA226" s="232" t="str">
        <f t="shared" si="50"/>
        <v/>
      </c>
      <c r="DB226" s="232">
        <f t="shared" si="51"/>
        <v>0</v>
      </c>
      <c r="DC226" s="232">
        <f t="shared" si="51"/>
        <v>0</v>
      </c>
      <c r="DD226" s="233">
        <f t="shared" si="51"/>
        <v>0</v>
      </c>
      <c r="DE226" s="233">
        <f t="shared" ref="DE226:DF226" si="66">P26</f>
        <v>0</v>
      </c>
      <c r="DF226" s="233">
        <f t="shared" si="66"/>
        <v>0</v>
      </c>
    </row>
    <row r="227" spans="105:110" ht="15.5" x14ac:dyDescent="0.35">
      <c r="DA227" s="232" t="str">
        <f t="shared" si="50"/>
        <v/>
      </c>
      <c r="DB227" s="232">
        <f t="shared" si="51"/>
        <v>0</v>
      </c>
      <c r="DC227" s="232">
        <f t="shared" si="51"/>
        <v>0</v>
      </c>
      <c r="DD227" s="233">
        <f t="shared" si="51"/>
        <v>0</v>
      </c>
      <c r="DE227" s="233">
        <f t="shared" ref="DE227:DF227" si="67">P27</f>
        <v>0</v>
      </c>
      <c r="DF227" s="233">
        <f t="shared" si="67"/>
        <v>0</v>
      </c>
    </row>
    <row r="228" spans="105:110" ht="15.5" x14ac:dyDescent="0.35">
      <c r="DA228" s="232" t="str">
        <f t="shared" si="50"/>
        <v/>
      </c>
      <c r="DB228" s="232">
        <f t="shared" ref="DB228:DD230" si="68">C28</f>
        <v>0</v>
      </c>
      <c r="DC228" s="232">
        <f t="shared" si="68"/>
        <v>0</v>
      </c>
      <c r="DD228" s="233">
        <f t="shared" si="68"/>
        <v>0</v>
      </c>
      <c r="DE228" s="233">
        <f t="shared" ref="DE228:DF228" si="69">P28</f>
        <v>0</v>
      </c>
      <c r="DF228" s="233">
        <f t="shared" si="69"/>
        <v>0</v>
      </c>
    </row>
    <row r="229" spans="105:110" ht="15.5" x14ac:dyDescent="0.35">
      <c r="DA229" s="232" t="str">
        <f t="shared" si="50"/>
        <v/>
      </c>
      <c r="DB229" s="232">
        <f t="shared" si="68"/>
        <v>0</v>
      </c>
      <c r="DC229" s="232">
        <f t="shared" si="68"/>
        <v>0</v>
      </c>
      <c r="DD229" s="233">
        <f t="shared" si="68"/>
        <v>0</v>
      </c>
      <c r="DE229" s="233">
        <f t="shared" ref="DE229:DF229" si="70">P29</f>
        <v>0</v>
      </c>
      <c r="DF229" s="233">
        <f t="shared" si="70"/>
        <v>0</v>
      </c>
    </row>
    <row r="230" spans="105:110" ht="15.5" x14ac:dyDescent="0.35">
      <c r="DA230" s="232" t="str">
        <f t="shared" si="50"/>
        <v/>
      </c>
      <c r="DB230" s="232">
        <f t="shared" si="68"/>
        <v>0</v>
      </c>
      <c r="DC230" s="232">
        <f t="shared" si="68"/>
        <v>0</v>
      </c>
      <c r="DD230" s="233">
        <f t="shared" si="68"/>
        <v>0</v>
      </c>
      <c r="DE230" s="233">
        <f t="shared" ref="DE230:DF230" si="71">P30</f>
        <v>0</v>
      </c>
      <c r="DF230" s="233">
        <f t="shared" si="71"/>
        <v>0</v>
      </c>
    </row>
    <row r="231" spans="105:110" ht="15.5" x14ac:dyDescent="0.35">
      <c r="DC231" s="234" t="s">
        <v>123</v>
      </c>
      <c r="DD231" s="234"/>
      <c r="DE231" s="233">
        <f t="shared" ref="DE231:DF231" si="72">P31</f>
        <v>228.78</v>
      </c>
      <c r="DF231" s="233">
        <f t="shared" si="72"/>
        <v>292.7299999999999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 t="shared" ref="DF232" si="73">Q32</f>
        <v>7496</v>
      </c>
    </row>
  </sheetData>
  <sheetProtection sheet="1" objects="1" scenarios="1"/>
  <protectedRanges>
    <protectedRange sqref="BH5:BH24" name="Range21"/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F26" name="Range7"/>
    <protectedRange sqref="BF5:BF24" name="Range6"/>
    <protectedRange sqref="BC13:BC14" name="Range5"/>
    <protectedRange sqref="BC10" name="Range4"/>
    <protectedRange sqref="Q34:Q36" name="Range1"/>
    <protectedRange sqref="BT3:BZ3" name="Range8"/>
    <protectedRange sqref="BP8:BP27" name="Range9_1"/>
    <protectedRange sqref="AQ5" name="Range3_1"/>
  </protectedRanges>
  <mergeCells count="83">
    <mergeCell ref="BX30:BY32"/>
    <mergeCell ref="U4:W4"/>
    <mergeCell ref="Z6:AF7"/>
    <mergeCell ref="V7:W7"/>
    <mergeCell ref="V8:W8"/>
    <mergeCell ref="AQ13:AQ17"/>
    <mergeCell ref="AP13:AP17"/>
    <mergeCell ref="AL31:AQ32"/>
    <mergeCell ref="BF30:BG32"/>
    <mergeCell ref="BI30:BK31"/>
    <mergeCell ref="AL28:AQ29"/>
    <mergeCell ref="AO20:AP20"/>
    <mergeCell ref="AJ24:AK24"/>
    <mergeCell ref="AJ25:AK25"/>
    <mergeCell ref="AO24:AP24"/>
    <mergeCell ref="AO25:AP25"/>
    <mergeCell ref="V6:W6"/>
    <mergeCell ref="AJ20:AK20"/>
    <mergeCell ref="F7:G7"/>
    <mergeCell ref="H7:I7"/>
    <mergeCell ref="P8:Q8"/>
    <mergeCell ref="P7:Q7"/>
    <mergeCell ref="F9:G9"/>
    <mergeCell ref="H9:I9"/>
    <mergeCell ref="J9:K9"/>
    <mergeCell ref="L9:M9"/>
    <mergeCell ref="N9:O9"/>
    <mergeCell ref="H8:I8"/>
    <mergeCell ref="J8:K8"/>
    <mergeCell ref="L8:M8"/>
    <mergeCell ref="N8:O8"/>
    <mergeCell ref="R8:S8"/>
    <mergeCell ref="CB2:CE2"/>
    <mergeCell ref="BI3:BK3"/>
    <mergeCell ref="BT3:BZ3"/>
    <mergeCell ref="BP5:BP7"/>
    <mergeCell ref="AQ6:AR7"/>
    <mergeCell ref="Z3:AF3"/>
    <mergeCell ref="Z2:AF2"/>
    <mergeCell ref="AL3:AQ3"/>
    <mergeCell ref="AL13:AL17"/>
    <mergeCell ref="AQ9:AR10"/>
    <mergeCell ref="AM13:AM17"/>
    <mergeCell ref="Z4:AF4"/>
    <mergeCell ref="AK9:AP10"/>
    <mergeCell ref="F6:G6"/>
    <mergeCell ref="N6:O6"/>
    <mergeCell ref="N7:O7"/>
    <mergeCell ref="T6:U6"/>
    <mergeCell ref="T7:U7"/>
    <mergeCell ref="R6:S6"/>
    <mergeCell ref="J6:K6"/>
    <mergeCell ref="J7:K7"/>
    <mergeCell ref="L6:M6"/>
    <mergeCell ref="P6:Q6"/>
    <mergeCell ref="R7:S7"/>
    <mergeCell ref="L7:M7"/>
    <mergeCell ref="K1:L1"/>
    <mergeCell ref="H3:I3"/>
    <mergeCell ref="O4:S4"/>
    <mergeCell ref="O3:S3"/>
    <mergeCell ref="H4:I4"/>
    <mergeCell ref="P9:Q9"/>
    <mergeCell ref="R9:S9"/>
    <mergeCell ref="T9:U9"/>
    <mergeCell ref="F8:G8"/>
    <mergeCell ref="T8:U8"/>
    <mergeCell ref="DE209:DF209"/>
    <mergeCell ref="CB31:CE32"/>
    <mergeCell ref="E3:F3"/>
    <mergeCell ref="O2:S2"/>
    <mergeCell ref="AZ22:AZ23"/>
    <mergeCell ref="AJ22:AK22"/>
    <mergeCell ref="AJ23:AK23"/>
    <mergeCell ref="AJ21:AK21"/>
    <mergeCell ref="AO21:AP21"/>
    <mergeCell ref="H6:I6"/>
    <mergeCell ref="AO22:AP22"/>
    <mergeCell ref="AO23:AP23"/>
    <mergeCell ref="AK6:AP7"/>
    <mergeCell ref="AO13:AO17"/>
    <mergeCell ref="AN13:AN19"/>
    <mergeCell ref="E4:F4"/>
  </mergeCells>
  <phoneticPr fontId="0" type="noConversion"/>
  <conditionalFormatting sqref="V4:W4">
    <cfRule type="cellIs" dxfId="104" priority="1" stopIfTrue="1" operator="equal">
      <formula>"Totals Correct"</formula>
    </cfRule>
    <cfRule type="cellIs" dxfId="103" priority="2" stopIfTrue="1" operator="equal">
      <formula>"ERROR"</formula>
    </cfRule>
  </conditionalFormatting>
  <conditionalFormatting sqref="U4">
    <cfRule type="cellIs" dxfId="102" priority="3" stopIfTrue="1" operator="equal">
      <formula>"OK TO MOVE TO NEXT STAGE"</formula>
    </cfRule>
    <cfRule type="cellIs" dxfId="101" priority="4" stopIfTrue="1" operator="equal">
      <formula>"DO NOT MOVE TO NEXT STAGE"</formula>
    </cfRule>
  </conditionalFormatting>
  <conditionalFormatting sqref="AL3">
    <cfRule type="cellIs" dxfId="100" priority="5" stopIfTrue="1" operator="notEqual">
      <formula>0</formula>
    </cfRule>
  </conditionalFormatting>
  <conditionalFormatting sqref="BF30:BG31">
    <cfRule type="cellIs" dxfId="99" priority="6" stopIfTrue="1" operator="equal">
      <formula>"NONE"</formula>
    </cfRule>
    <cfRule type="cellIs" dxfId="98" priority="7" stopIfTrue="1" operator="notEqual">
      <formula>"NONE"</formula>
    </cfRule>
  </conditionalFormatting>
  <conditionalFormatting sqref="BX30">
    <cfRule type="cellIs" dxfId="97" priority="8" stopIfTrue="1" operator="equal">
      <formula>"Calculations OK"</formula>
    </cfRule>
    <cfRule type="cellIs" dxfId="96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7'!Y1:AR1" display="BACK to DECISION FORM Stage 7"/>
    <hyperlink ref="O4:S4" location="'Stage 8'!Y1:AR1" display="FORWARD TO STAGE 8"/>
    <hyperlink ref="Z6:AF7" location="'Stage 6'!A1" display="BACK to Overview of STAGE 6"/>
    <hyperlink ref="AL28" location="'Stage 2'!BI1" display="MOVE TO TRANSFER OF SURPLUS VOTES FORM"/>
    <hyperlink ref="AL31" location="'Stage 2'!CC1" display="MOVE TO EXCLUDE CANDIDATE FORM"/>
    <hyperlink ref="AL28:AQ29" location="'Stage 7'!AY1:BK1" display="MOVE TO TRANSFER OF SURPLUS VOTES FORM"/>
    <hyperlink ref="AL31:AQ32" location="'Stage 7'!BN1:CE1" display="MOVE TO EXCLUDE CANDIDATE FORM"/>
    <hyperlink ref="BI30:BK31" location="'Stage 7'!A1" display="FORWARD to OVERVIEW OF STAGE 7"/>
    <hyperlink ref="BI3:BK3" location="'Stage 7'!Y1:AR1" display="BACK to DECISION FORM"/>
    <hyperlink ref="CB2" location="'Stage 2'!AQ5" display="MOVE TO NEXT FORM"/>
    <hyperlink ref="CB2:CE2" location="'Stage 7'!Y1:AR1" display="BACK to DECISION FORM"/>
    <hyperlink ref="CB31" location="'Stage 2'!A1" display="HOME TO OVERVIEW OF STAGE 2"/>
    <hyperlink ref="CB31:CE32" location="'Stage 7'!A1" display="FORWARD to OVERVIEW OF STAGE 7"/>
  </hyperlinks>
  <pageMargins left="0.75" right="0.75" top="1" bottom="1" header="0.5" footer="0.5"/>
  <pageSetup paperSize="8" fitToWidth="0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DF232"/>
  <sheetViews>
    <sheetView showGridLines="0" showZeros="0" tabSelected="1" zoomScale="75" workbookViewId="0">
      <selection activeCell="BI3" sqref="BI3:BK3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8.36328125" customWidth="1"/>
    <col min="25" max="25" width="3.4531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36328125" customWidth="1"/>
    <col min="43" max="43" width="11.08984375" customWidth="1"/>
    <col min="44" max="44" width="16.453125" customWidth="1"/>
    <col min="45" max="45" width="216" customWidth="1"/>
    <col min="50" max="50" width="220.54296875" customWidth="1"/>
    <col min="51" max="51" width="5.63281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6.6328125" customWidth="1"/>
    <col min="65" max="65" width="9" customWidth="1"/>
    <col min="67" max="67" width="8.90625" customWidth="1"/>
    <col min="68" max="68" width="7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109</v>
      </c>
      <c r="J1" s="85" t="s">
        <v>37</v>
      </c>
      <c r="K1" s="319">
        <f>'Basic Input'!C2</f>
        <v>45064</v>
      </c>
      <c r="L1" s="319"/>
      <c r="Z1" s="10" t="s">
        <v>254</v>
      </c>
      <c r="AQ1" s="33"/>
      <c r="AZ1" s="10" t="s">
        <v>126</v>
      </c>
      <c r="BE1" s="34" t="str">
        <f>IF(AT5="T","COMPLETE THIS FORM","YOU HAVE NOT SELECTED TO COMPLETE THIS FORM")</f>
        <v>COMPLETE THIS FORM</v>
      </c>
      <c r="BR1" s="10" t="s">
        <v>127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255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253.26999999999998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I2" s="313"/>
      <c r="BJ2" s="313"/>
      <c r="BK2" s="313"/>
      <c r="BR2" s="36" t="s">
        <v>109</v>
      </c>
      <c r="CB2" s="345" t="s">
        <v>131</v>
      </c>
      <c r="CC2" s="346"/>
      <c r="CD2" s="346"/>
      <c r="CE2" s="347"/>
    </row>
    <row r="3" spans="1:105" ht="18.5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23"/>
      <c r="P3" s="323"/>
      <c r="Q3" s="323"/>
      <c r="R3" s="323"/>
      <c r="S3" s="323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253.26999999999998</v>
      </c>
      <c r="AJ3" s="163"/>
      <c r="AK3" s="163"/>
      <c r="AL3" s="352" t="str">
        <f>IF(AQ5="n","MOVE TO EXCLUDE CANDIDATE FORM",IF(AQ5="y","MOVE TO TRANSFER OF SURPLUS VOTES FORM",0))</f>
        <v>MOVE TO TRANSFER OF SURPLUS VOTES FORM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L3" s="114"/>
      <c r="BR3" s="81" t="s">
        <v>133</v>
      </c>
      <c r="BS3" s="82"/>
      <c r="BT3" s="348"/>
      <c r="BU3" s="349"/>
      <c r="BV3" s="349"/>
      <c r="BW3" s="349"/>
      <c r="BX3" s="349"/>
      <c r="BY3" s="349"/>
      <c r="BZ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256</v>
      </c>
      <c r="P4" s="346"/>
      <c r="Q4" s="346"/>
      <c r="R4" s="346"/>
      <c r="S4" s="347"/>
      <c r="U4" s="311" t="str">
        <f>IF(S33="ERROR","DO NOT MOVE TO NEXT STAGE","OK TO MOVE TO NEXT STAGE")</f>
        <v>OK TO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 t="s">
        <v>144</v>
      </c>
      <c r="AT5" s="7" t="str">
        <f>IF(AQ5=0,0,IF(AQ5="Y","T","E"))</f>
        <v>T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IF(C11=0,0,IF(Q11=0,"Excluded",0))</f>
        <v>0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367" t="s">
        <v>110</v>
      </c>
      <c r="U6" s="368"/>
      <c r="V6" s="367" t="s">
        <v>111</v>
      </c>
      <c r="W6" s="368"/>
      <c r="Z6" s="327" t="s">
        <v>257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Transfer</v>
      </c>
      <c r="AR6" s="302"/>
      <c r="AS6" s="181"/>
      <c r="AT6" s="91"/>
      <c r="AU6" s="91"/>
      <c r="AW6" s="33"/>
      <c r="AX6" s="33"/>
      <c r="AZ6" s="36" t="s">
        <v>109</v>
      </c>
      <c r="BA6" s="245"/>
      <c r="BE6" s="61" t="str">
        <f>'Verification of Boxes'!J11</f>
        <v>FLYNN</v>
      </c>
      <c r="BF6" s="64"/>
      <c r="BG6" s="100">
        <f t="shared" si="0"/>
        <v>0</v>
      </c>
      <c r="BH6" s="150"/>
      <c r="BI6" s="5" t="str">
        <f t="shared" ref="BI6:BI24" si="1">IF(A12&lt;&gt;0,A12,0)</f>
        <v>Excluded</v>
      </c>
      <c r="BJ6" s="5" t="str">
        <f t="shared" ref="BJ6:BJ24" si="2">IF(C12=0,0,IF(Q12=0,"Excluded",0))</f>
        <v>Excluded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IF($AT5=0,0,IF($AT5="T",$AZ7,$BR4))</f>
        <v>Transfer</v>
      </c>
      <c r="S7" s="371"/>
      <c r="T7" s="369"/>
      <c r="U7" s="370"/>
      <c r="V7" s="370"/>
      <c r="W7" s="372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EWING</v>
      </c>
      <c r="G8" s="364"/>
      <c r="H8" s="359" t="str">
        <f>'Stage 3'!H8:I8</f>
        <v xml:space="preserve"> MCEVOY</v>
      </c>
      <c r="I8" s="360"/>
      <c r="J8" s="359" t="str">
        <f>'Stage 4'!J8:K8</f>
        <v>GREHAN</v>
      </c>
      <c r="K8" s="360"/>
      <c r="L8" s="359" t="str">
        <f>'Stage 5'!L8:M8</f>
        <v>GIVAN</v>
      </c>
      <c r="M8" s="360"/>
      <c r="N8" s="359" t="str">
        <f>'Stage 6'!N8:O8</f>
        <v>FRENCH</v>
      </c>
      <c r="O8" s="360"/>
      <c r="P8" s="359" t="str">
        <f>'Stage 7'!P8:Q8</f>
        <v>FLYNN</v>
      </c>
      <c r="Q8" s="360"/>
      <c r="R8" s="361" t="str">
        <f>IF($R7="Transfer",$BA8,$BT3)</f>
        <v>KENNEDY</v>
      </c>
      <c r="S8" s="371"/>
      <c r="T8" s="373"/>
      <c r="U8" s="365"/>
      <c r="V8" s="365"/>
      <c r="W8" s="366"/>
      <c r="AA8" s="3"/>
      <c r="AI8" s="10"/>
      <c r="AJ8" s="10"/>
      <c r="AZ8" s="8" t="s">
        <v>160</v>
      </c>
      <c r="BA8" s="151" t="str">
        <f>IF(BE49&lt;&gt;0,BE49,IF(BE50&lt;&gt;0,BE50,IF(BE51&lt;&gt;0,BE51,IF(BE52&lt;&gt;0,BE52,0))))</f>
        <v>KENNEDY</v>
      </c>
      <c r="BE8" s="61" t="str">
        <f>'Verification of Boxes'!J13</f>
        <v>GIVAN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EWING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374" t="s">
        <v>112</v>
      </c>
      <c r="U9" s="375"/>
      <c r="V9" s="139" t="s">
        <v>112</v>
      </c>
      <c r="W9" s="140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Transfer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 t="str">
        <f t="shared" ref="BN9:BN27" si="11">IF(A12&lt;&gt;0,A12,0)</f>
        <v>Excluded</v>
      </c>
      <c r="BO9" s="7">
        <f t="shared" si="3"/>
        <v>0</v>
      </c>
      <c r="BP9" s="66"/>
      <c r="BR9" s="9" t="str">
        <f>'Verification of Boxes'!J11</f>
        <v>FLYNN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113</v>
      </c>
      <c r="B10" s="18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>
        <v>1324.27</v>
      </c>
      <c r="BE10" s="61" t="str">
        <f>'Verification of Boxes'!J15</f>
        <v>KENNEDY</v>
      </c>
      <c r="BF10" s="64"/>
      <c r="BG10" s="100">
        <f t="shared" si="0"/>
        <v>0</v>
      </c>
      <c r="BH10" s="150" t="s">
        <v>144</v>
      </c>
      <c r="BI10" s="5" t="str">
        <f t="shared" si="1"/>
        <v>Elected</v>
      </c>
      <c r="BJ10" s="5">
        <f t="shared" si="2"/>
        <v>0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FRENCH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7'!A11&lt;&gt;0,'Stage 7'!A11,IF(S11&gt;=$M$3,"Elected",IF(BP8&lt;&gt;0,"Excluded",0)))</f>
        <v>Elected</v>
      </c>
      <c r="B11" s="235">
        <f>'Stage 7'!B11</f>
        <v>1</v>
      </c>
      <c r="C11" s="30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>'Stage 3'!H11</f>
        <v>0</v>
      </c>
      <c r="I11" s="135">
        <f>'Stage 3'!I11</f>
        <v>1071</v>
      </c>
      <c r="J11" s="71">
        <f>'Stage 4'!J11</f>
        <v>0</v>
      </c>
      <c r="K11" s="135">
        <f>'Stage 4'!K11</f>
        <v>1071</v>
      </c>
      <c r="L11" s="71">
        <f>'Stage 5'!L11</f>
        <v>0</v>
      </c>
      <c r="M11" s="135">
        <f>'Stage 5'!M11</f>
        <v>1071</v>
      </c>
      <c r="N11" s="71">
        <f>'Stage 6'!N11</f>
        <v>0</v>
      </c>
      <c r="O11" s="135">
        <f>'Stage 6'!O11</f>
        <v>1071</v>
      </c>
      <c r="P11" s="71">
        <f>'Stage 7'!P11</f>
        <v>0</v>
      </c>
      <c r="Q11" s="135">
        <f>'Stage 7'!Q11</f>
        <v>1071</v>
      </c>
      <c r="R11" s="71">
        <f t="shared" ref="R11:R30" si="12">IF($C11&lt;&gt;0,$BK49,0)</f>
        <v>0</v>
      </c>
      <c r="S11" s="27">
        <f t="shared" ref="S11:S31" si="13">IF(R$8=0,0,Q11+R11)</f>
        <v>1071</v>
      </c>
      <c r="T11" s="71"/>
      <c r="U11" s="27">
        <f t="shared" ref="U11:U31" si="14">IF(T$8=0,0,S11+T11)</f>
        <v>0</v>
      </c>
      <c r="V11" s="69"/>
      <c r="W11" s="39">
        <f t="shared" ref="W11:W31" si="15">IF(V$8=0,0,U11+V11)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7'!A12&lt;&gt;0,'Stage 7'!A12,IF(S12&gt;=$M$3,"Elected",IF(BP9&lt;&gt;0,"Excluded",0)))</f>
        <v>Excluded</v>
      </c>
      <c r="B12" s="235">
        <f>'Stage 7'!B12</f>
        <v>0</v>
      </c>
      <c r="C12" s="31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>'Stage 3'!H12</f>
        <v>1</v>
      </c>
      <c r="I12" s="135">
        <f>'Stage 3'!I12</f>
        <v>494.42</v>
      </c>
      <c r="J12" s="71">
        <f>'Stage 4'!J12</f>
        <v>0.48</v>
      </c>
      <c r="K12" s="135">
        <f>'Stage 4'!K12</f>
        <v>494.90000000000003</v>
      </c>
      <c r="L12" s="71">
        <f>'Stage 5'!L12</f>
        <v>0.04</v>
      </c>
      <c r="M12" s="135">
        <f>'Stage 5'!M12</f>
        <v>494.94000000000005</v>
      </c>
      <c r="N12" s="71">
        <f>'Stage 6'!N12</f>
        <v>176.15</v>
      </c>
      <c r="O12" s="135">
        <f>'Stage 6'!O12</f>
        <v>671.09</v>
      </c>
      <c r="P12" s="71">
        <f>'Stage 7'!P12</f>
        <v>-671.09</v>
      </c>
      <c r="Q12" s="135">
        <f>'Stage 7'!Q12</f>
        <v>0</v>
      </c>
      <c r="R12" s="71">
        <f t="shared" si="12"/>
        <v>0</v>
      </c>
      <c r="S12" s="27">
        <f t="shared" si="13"/>
        <v>0</v>
      </c>
      <c r="T12" s="71"/>
      <c r="U12" s="27">
        <f t="shared" si="14"/>
        <v>0</v>
      </c>
      <c r="V12" s="69"/>
      <c r="W12" s="39">
        <f t="shared" si="15"/>
        <v>0</v>
      </c>
      <c r="AJ12" s="38"/>
      <c r="AZ12" t="s">
        <v>166</v>
      </c>
      <c r="BA12" s="3" t="s">
        <v>167</v>
      </c>
      <c r="BB12" s="3"/>
      <c r="BC12" s="50">
        <f>AG3</f>
        <v>253.26999999999998</v>
      </c>
      <c r="BE12" s="61" t="str">
        <f>'Verification of Boxes'!J17</f>
        <v>MITCHELL</v>
      </c>
      <c r="BF12" s="64">
        <v>58</v>
      </c>
      <c r="BG12" s="100">
        <f t="shared" si="0"/>
        <v>58</v>
      </c>
      <c r="BH12" s="150"/>
      <c r="BI12" s="5">
        <f t="shared" si="1"/>
        <v>0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7'!A13&lt;&gt;0,'Stage 7'!A13,IF(S13&gt;=$M$3,"Elected",IF(BP10&lt;&gt;0,"Excluded",0)))</f>
        <v>Excluded</v>
      </c>
      <c r="B13" s="235">
        <f>'Stage 7'!B13</f>
        <v>0</v>
      </c>
      <c r="C13" s="31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>'Stage 3'!H13</f>
        <v>4</v>
      </c>
      <c r="I13" s="135">
        <f>'Stage 3'!I13</f>
        <v>476.42</v>
      </c>
      <c r="J13" s="71">
        <f>'Stage 4'!J13</f>
        <v>0.89999999999999991</v>
      </c>
      <c r="K13" s="135">
        <f>'Stage 4'!K13</f>
        <v>477.32</v>
      </c>
      <c r="L13" s="71">
        <f>'Stage 5'!L13</f>
        <v>0.02</v>
      </c>
      <c r="M13" s="135">
        <f>'Stage 5'!M13</f>
        <v>477.34</v>
      </c>
      <c r="N13" s="71">
        <f>'Stage 6'!N13</f>
        <v>-477.34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 t="shared" si="12"/>
        <v>0</v>
      </c>
      <c r="S13" s="27">
        <f t="shared" si="13"/>
        <v>0</v>
      </c>
      <c r="T13" s="71"/>
      <c r="U13" s="27">
        <f t="shared" si="14"/>
        <v>0</v>
      </c>
      <c r="V13" s="69"/>
      <c r="W13" s="39">
        <f t="shared" si="15"/>
        <v>0</v>
      </c>
      <c r="Z13" s="15" t="s">
        <v>115</v>
      </c>
      <c r="AA13" s="124" t="s">
        <v>168</v>
      </c>
      <c r="AB13" s="16"/>
      <c r="AC13" s="16" t="s">
        <v>169</v>
      </c>
      <c r="AD13" s="18"/>
      <c r="AE13" s="16" t="s">
        <v>170</v>
      </c>
      <c r="AF13" s="18" t="s">
        <v>171</v>
      </c>
      <c r="AG13" s="14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>
        <v>375</v>
      </c>
      <c r="BE13" s="61" t="str">
        <f>'Verification of Boxes'!J18</f>
        <v>PALMER</v>
      </c>
      <c r="BF13" s="64">
        <v>18</v>
      </c>
      <c r="BG13" s="100">
        <f t="shared" si="0"/>
        <v>18</v>
      </c>
      <c r="BH13" s="150"/>
      <c r="BI13" s="5">
        <f t="shared" si="1"/>
        <v>0</v>
      </c>
      <c r="BJ13" s="5">
        <f t="shared" si="2"/>
        <v>0</v>
      </c>
      <c r="BM13" s="3"/>
      <c r="BN13" s="5" t="str">
        <f t="shared" si="11"/>
        <v>Elected</v>
      </c>
      <c r="BO13" s="7" t="str">
        <f t="shared" si="3"/>
        <v>Elected</v>
      </c>
      <c r="BP13" s="66"/>
      <c r="BR13" s="9" t="str">
        <f>'Verification of Boxes'!J15</f>
        <v>KENNEDY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7'!A14&lt;&gt;0,'Stage 7'!A14,IF(S14&gt;=$M$3,"Elected",IF(BP11&lt;&gt;0,"Excluded",0)))</f>
        <v>Elected</v>
      </c>
      <c r="B14" s="235">
        <f>'Stage 7'!B14</f>
        <v>3</v>
      </c>
      <c r="C14" s="31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>'Stage 3'!H14</f>
        <v>0</v>
      </c>
      <c r="I14" s="135">
        <f>'Stage 3'!I14</f>
        <v>1089.5999999999999</v>
      </c>
      <c r="J14" s="71">
        <f>'Stage 4'!J14</f>
        <v>0</v>
      </c>
      <c r="K14" s="135">
        <f>'Stage 4'!K14</f>
        <v>1089.5999999999999</v>
      </c>
      <c r="L14" s="71">
        <f>'Stage 5'!L14</f>
        <v>-18.599999999999909</v>
      </c>
      <c r="M14" s="135">
        <f>'Stage 5'!M14</f>
        <v>1071</v>
      </c>
      <c r="N14" s="71">
        <f>'Stage 6'!N14</f>
        <v>0</v>
      </c>
      <c r="O14" s="135">
        <f>'Stage 6'!O14</f>
        <v>1071</v>
      </c>
      <c r="P14" s="71">
        <f>'Stage 7'!P14</f>
        <v>0</v>
      </c>
      <c r="Q14" s="135">
        <f>'Stage 7'!Q14</f>
        <v>1071</v>
      </c>
      <c r="R14" s="71">
        <f t="shared" si="12"/>
        <v>0</v>
      </c>
      <c r="S14" s="27">
        <f t="shared" si="13"/>
        <v>1071</v>
      </c>
      <c r="T14" s="71"/>
      <c r="U14" s="27">
        <f t="shared" si="14"/>
        <v>0</v>
      </c>
      <c r="V14" s="69"/>
      <c r="W14" s="39">
        <f t="shared" si="15"/>
        <v>0</v>
      </c>
      <c r="Z14" s="92" t="str">
        <f>'Verification of Boxes'!J10</f>
        <v>EWING</v>
      </c>
      <c r="AA14" s="93">
        <f>Q11</f>
        <v>1071</v>
      </c>
      <c r="AB14" s="88"/>
      <c r="AC14" s="99">
        <f t="shared" ref="AC14:AC33" si="16">IF(AA14&gt;0,AA14-AG$4,0)</f>
        <v>0</v>
      </c>
      <c r="AD14" s="123"/>
      <c r="AE14" s="88" t="str">
        <f>IF(Z14=0,0,IF(AA14&gt;=AG$4,"elected",IF(AA14=0,"excluded","continuing")))</f>
        <v>elected</v>
      </c>
      <c r="AF14" s="88">
        <f t="shared" ref="AF14:AF33" si="17">IF(AE14="elected",AC14,0)</f>
        <v>0</v>
      </c>
      <c r="AG14" s="94">
        <f t="shared" ref="AG14:AG33" si="18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>
        <v>1</v>
      </c>
      <c r="BE14" s="61" t="str">
        <f>'Verification of Boxes'!J19</f>
        <v>PORTER</v>
      </c>
      <c r="BF14" s="64">
        <v>6</v>
      </c>
      <c r="BG14" s="100">
        <f t="shared" si="0"/>
        <v>6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7'!A15&lt;&gt;0,'Stage 7'!A15,IF(S15&gt;=$M$3,"Elected",IF(BP12&lt;&gt;0,"Excluded",0)))</f>
        <v>Elected</v>
      </c>
      <c r="B15" s="235">
        <f>'Stage 7'!B15</f>
        <v>2</v>
      </c>
      <c r="C15" s="31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>'Stage 3'!H15</f>
        <v>0</v>
      </c>
      <c r="I15" s="135">
        <f>'Stage 3'!I15</f>
        <v>1111</v>
      </c>
      <c r="J15" s="71">
        <f>'Stage 4'!J15</f>
        <v>-40</v>
      </c>
      <c r="K15" s="135">
        <f>'Stage 4'!K15</f>
        <v>1071</v>
      </c>
      <c r="L15" s="71">
        <f>'Stage 5'!L15</f>
        <v>0</v>
      </c>
      <c r="M15" s="135">
        <f>'Stage 5'!M15</f>
        <v>1071</v>
      </c>
      <c r="N15" s="71">
        <f>'Stage 6'!N15</f>
        <v>0</v>
      </c>
      <c r="O15" s="135">
        <f>'Stage 6'!O15</f>
        <v>1071</v>
      </c>
      <c r="P15" s="71">
        <f>'Stage 7'!P15</f>
        <v>0</v>
      </c>
      <c r="Q15" s="135">
        <f>'Stage 7'!Q15</f>
        <v>1071</v>
      </c>
      <c r="R15" s="71">
        <f t="shared" si="12"/>
        <v>0</v>
      </c>
      <c r="S15" s="27">
        <f t="shared" si="13"/>
        <v>1071</v>
      </c>
      <c r="T15" s="71"/>
      <c r="U15" s="27">
        <f t="shared" si="14"/>
        <v>0</v>
      </c>
      <c r="V15" s="69"/>
      <c r="W15" s="39">
        <f t="shared" si="15"/>
        <v>0</v>
      </c>
      <c r="Z15" s="95" t="str">
        <f>'Verification of Boxes'!J11</f>
        <v>FLYNN</v>
      </c>
      <c r="AA15" s="37">
        <f>Q12</f>
        <v>0</v>
      </c>
      <c r="AB15" s="5"/>
      <c r="AC15" s="100">
        <f t="shared" si="16"/>
        <v>0</v>
      </c>
      <c r="AD15" s="110"/>
      <c r="AE15" s="5" t="str">
        <f t="shared" ref="AE15:AE33" si="19">IF(Z15=0,0,IF(AA15&gt;=AG$4,"elected",IF(AA15=0,"excluded","continuing")))</f>
        <v>excluded</v>
      </c>
      <c r="AF15" s="5">
        <f t="shared" si="17"/>
        <v>0</v>
      </c>
      <c r="AG15" s="96">
        <f t="shared" si="18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1007.29</v>
      </c>
      <c r="BP15" s="66"/>
      <c r="BR15" s="9" t="str">
        <f>'Verification of Boxes'!J17</f>
        <v>MITCHELL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>IF('Stage 7'!A16&lt;&gt;0,'Stage 7'!A16,IF(S16&gt;=$M$3,"Elected",IF(BP13&lt;&gt;0,"Excluded",0)))</f>
        <v>Elected</v>
      </c>
      <c r="B16" s="235">
        <f>'Stage 7'!B16</f>
        <v>4</v>
      </c>
      <c r="C16" s="31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>'Stage 3'!H16</f>
        <v>3.06</v>
      </c>
      <c r="I16" s="135">
        <f>'Stage 3'!I16</f>
        <v>677.3</v>
      </c>
      <c r="J16" s="71">
        <f>'Stage 4'!J16</f>
        <v>30.029999999999998</v>
      </c>
      <c r="K16" s="135">
        <f>'Stage 4'!K16</f>
        <v>707.32999999999993</v>
      </c>
      <c r="L16" s="71">
        <f>'Stage 5'!L16</f>
        <v>0.22</v>
      </c>
      <c r="M16" s="135">
        <f>'Stage 5'!M16</f>
        <v>707.55</v>
      </c>
      <c r="N16" s="71">
        <f>'Stage 6'!N16</f>
        <v>241.72</v>
      </c>
      <c r="O16" s="135">
        <f>'Stage 6'!O16</f>
        <v>949.27</v>
      </c>
      <c r="P16" s="71">
        <f>'Stage 7'!P16</f>
        <v>375</v>
      </c>
      <c r="Q16" s="135">
        <f>'Stage 7'!Q16</f>
        <v>1324.27</v>
      </c>
      <c r="R16" s="71">
        <f t="shared" si="12"/>
        <v>-253.26999999999998</v>
      </c>
      <c r="S16" s="27">
        <f t="shared" si="13"/>
        <v>1071</v>
      </c>
      <c r="T16" s="71"/>
      <c r="U16" s="27">
        <f t="shared" si="14"/>
        <v>0</v>
      </c>
      <c r="V16" s="69"/>
      <c r="W16" s="39">
        <f t="shared" si="15"/>
        <v>0</v>
      </c>
      <c r="Z16" s="95" t="str">
        <f>'Verification of Boxes'!J12</f>
        <v>FRENCH</v>
      </c>
      <c r="AA16" s="37">
        <f t="shared" ref="AA16:AA33" si="20">Q13</f>
        <v>0</v>
      </c>
      <c r="AB16" s="5"/>
      <c r="AC16" s="100">
        <f t="shared" si="16"/>
        <v>0</v>
      </c>
      <c r="AD16" s="110"/>
      <c r="AE16" s="5" t="str">
        <f t="shared" si="19"/>
        <v>excluded</v>
      </c>
      <c r="AF16" s="5">
        <f t="shared" si="17"/>
        <v>0</v>
      </c>
      <c r="AG16" s="96">
        <f t="shared" si="18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727.4799999999999</v>
      </c>
      <c r="BP16" s="66"/>
      <c r="BR16" s="9" t="str">
        <f>'Verification of Boxes'!J18</f>
        <v>PALMER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7'!A17&lt;&gt;0,'Stage 7'!A17,IF(S17&gt;=$M$3,"Elected",IF(BP14&lt;&gt;0,"Excluded",0)))</f>
        <v>Excluded</v>
      </c>
      <c r="B17" s="235">
        <f>'Stage 7'!B17</f>
        <v>0</v>
      </c>
      <c r="C17" s="31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>'Stage 3'!H17</f>
        <v>-388.44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 t="shared" si="12"/>
        <v>0</v>
      </c>
      <c r="S17" s="27">
        <f t="shared" si="13"/>
        <v>0</v>
      </c>
      <c r="T17" s="71"/>
      <c r="U17" s="27">
        <f t="shared" si="14"/>
        <v>0</v>
      </c>
      <c r="V17" s="69"/>
      <c r="W17" s="39">
        <f t="shared" si="15"/>
        <v>0</v>
      </c>
      <c r="Z17" s="95" t="str">
        <f>'Verification of Boxes'!J13</f>
        <v>GIVAN</v>
      </c>
      <c r="AA17" s="37">
        <f t="shared" si="20"/>
        <v>1071</v>
      </c>
      <c r="AB17" s="5"/>
      <c r="AC17" s="100">
        <f t="shared" si="16"/>
        <v>0</v>
      </c>
      <c r="AD17" s="110"/>
      <c r="AE17" s="5" t="str">
        <f t="shared" si="19"/>
        <v>elected</v>
      </c>
      <c r="AF17" s="5">
        <f t="shared" si="17"/>
        <v>0</v>
      </c>
      <c r="AG17" s="96">
        <f t="shared" si="18"/>
        <v>0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931.23</v>
      </c>
      <c r="BP17" s="66"/>
      <c r="BR17" s="9" t="str">
        <f>'Verification of Boxes'!J19</f>
        <v>PORTER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>IF('Stage 7'!A18&lt;&gt;0,'Stage 7'!A18,IF(S18&gt;=$M$3,"Elected",IF(BP15&lt;&gt;0,"Excluded",0)))</f>
        <v>0</v>
      </c>
      <c r="B18" s="235">
        <v>5</v>
      </c>
      <c r="C18" s="31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>'Stage 3'!H18</f>
        <v>91.42</v>
      </c>
      <c r="I18" s="135">
        <f>'Stage 3'!I18</f>
        <v>962.86</v>
      </c>
      <c r="J18" s="71">
        <f>'Stage 4'!J18</f>
        <v>0.72</v>
      </c>
      <c r="K18" s="135">
        <f>'Stage 4'!K18</f>
        <v>963.58</v>
      </c>
      <c r="L18" s="71">
        <f>'Stage 5'!L18</f>
        <v>1.54</v>
      </c>
      <c r="M18" s="135">
        <f>'Stage 5'!M18</f>
        <v>965.12</v>
      </c>
      <c r="N18" s="71">
        <f>'Stage 6'!N18</f>
        <v>6</v>
      </c>
      <c r="O18" s="135">
        <f>'Stage 6'!O18</f>
        <v>971.12</v>
      </c>
      <c r="P18" s="71">
        <f>'Stage 7'!P18</f>
        <v>36.170000000000009</v>
      </c>
      <c r="Q18" s="135">
        <f>'Stage 7'!Q18</f>
        <v>1007.29</v>
      </c>
      <c r="R18" s="71">
        <f t="shared" si="12"/>
        <v>58</v>
      </c>
      <c r="S18" s="27">
        <f t="shared" si="13"/>
        <v>1065.29</v>
      </c>
      <c r="T18" s="71"/>
      <c r="U18" s="27">
        <f t="shared" si="14"/>
        <v>0</v>
      </c>
      <c r="V18" s="69"/>
      <c r="W18" s="39">
        <f t="shared" si="15"/>
        <v>0</v>
      </c>
      <c r="Z18" s="95" t="str">
        <f>'Verification of Boxes'!J14</f>
        <v>GREHAN</v>
      </c>
      <c r="AA18" s="37">
        <f t="shared" si="20"/>
        <v>1071</v>
      </c>
      <c r="AB18" s="5"/>
      <c r="AC18" s="100">
        <f t="shared" si="16"/>
        <v>0</v>
      </c>
      <c r="AD18" s="110"/>
      <c r="AE18" s="5" t="str">
        <f t="shared" si="19"/>
        <v>elected</v>
      </c>
      <c r="AF18" s="5">
        <f t="shared" si="17"/>
        <v>0</v>
      </c>
      <c r="AG18" s="96">
        <f t="shared" si="18"/>
        <v>0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82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>IF('Stage 7'!A19&lt;&gt;0,'Stage 7'!A19,IF(S19&gt;=$M$3,"Elected",IF(BP16&lt;&gt;0,"Excluded",0)))</f>
        <v>0</v>
      </c>
      <c r="B19" s="235">
        <f>'Stage 7'!B19</f>
        <v>0</v>
      </c>
      <c r="C19" s="31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>'Stage 3'!H19</f>
        <v>64.48</v>
      </c>
      <c r="I19" s="135">
        <f>'Stage 3'!I19</f>
        <v>692.9</v>
      </c>
      <c r="J19" s="71">
        <f>'Stage 4'!J19</f>
        <v>0.69</v>
      </c>
      <c r="K19" s="135">
        <f>'Stage 4'!K19</f>
        <v>693.59</v>
      </c>
      <c r="L19" s="71">
        <f>'Stage 5'!L19</f>
        <v>0.68</v>
      </c>
      <c r="M19" s="135">
        <f>'Stage 5'!M19</f>
        <v>694.27</v>
      </c>
      <c r="N19" s="71">
        <f>'Stage 6'!N19</f>
        <v>12.15</v>
      </c>
      <c r="O19" s="135">
        <f>'Stage 6'!O19</f>
        <v>706.42</v>
      </c>
      <c r="P19" s="71">
        <f>'Stage 7'!P19</f>
        <v>21.06</v>
      </c>
      <c r="Q19" s="135">
        <f>'Stage 7'!Q19</f>
        <v>727.4799999999999</v>
      </c>
      <c r="R19" s="71">
        <f t="shared" si="12"/>
        <v>18</v>
      </c>
      <c r="S19" s="27">
        <f t="shared" si="13"/>
        <v>745.4799999999999</v>
      </c>
      <c r="T19" s="71"/>
      <c r="U19" s="27">
        <f t="shared" si="14"/>
        <v>0</v>
      </c>
      <c r="V19" s="69"/>
      <c r="W19" s="39">
        <f t="shared" si="15"/>
        <v>0</v>
      </c>
      <c r="Z19" s="95" t="str">
        <f>'Verification of Boxes'!J15</f>
        <v>KENNEDY</v>
      </c>
      <c r="AA19" s="37">
        <f t="shared" si="20"/>
        <v>1324.27</v>
      </c>
      <c r="AB19" s="5"/>
      <c r="AC19" s="100">
        <f t="shared" si="16"/>
        <v>253.26999999999998</v>
      </c>
      <c r="AD19" s="110"/>
      <c r="AE19" s="5" t="str">
        <f t="shared" si="19"/>
        <v>elected</v>
      </c>
      <c r="AF19" s="5">
        <f t="shared" si="17"/>
        <v>253.26999999999998</v>
      </c>
      <c r="AG19" s="96" t="str">
        <f t="shared" si="18"/>
        <v>transfer largest surplus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82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7'!A20&lt;&gt;0,'Stage 7'!A20,IF(S20&gt;=$M$3,"Elected",IF(BP17&lt;&gt;0,"Excluded",0)))</f>
        <v>0</v>
      </c>
      <c r="B20" s="235">
        <v>6</v>
      </c>
      <c r="C20" s="31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>'Stage 3'!H20</f>
        <v>204.42</v>
      </c>
      <c r="I20" s="135">
        <f>'Stage 3'!I20</f>
        <v>900.42</v>
      </c>
      <c r="J20" s="71">
        <f>'Stage 4'!J20</f>
        <v>0.39</v>
      </c>
      <c r="K20" s="135">
        <f>'Stage 4'!K20</f>
        <v>900.81</v>
      </c>
      <c r="L20" s="71">
        <f>'Stage 5'!L20</f>
        <v>14.34</v>
      </c>
      <c r="M20" s="135">
        <f>'Stage 5'!M20</f>
        <v>915.15</v>
      </c>
      <c r="N20" s="71">
        <f>'Stage 6'!N20</f>
        <v>6</v>
      </c>
      <c r="O20" s="135">
        <f>'Stage 6'!O20</f>
        <v>921.15</v>
      </c>
      <c r="P20" s="71">
        <f>'Stage 7'!P20</f>
        <v>10.08</v>
      </c>
      <c r="Q20" s="135">
        <f>'Stage 7'!Q20</f>
        <v>931.23</v>
      </c>
      <c r="R20" s="71">
        <f t="shared" si="12"/>
        <v>6</v>
      </c>
      <c r="S20" s="27">
        <f t="shared" si="13"/>
        <v>937.23</v>
      </c>
      <c r="T20" s="71"/>
      <c r="U20" s="27">
        <f t="shared" si="14"/>
        <v>0</v>
      </c>
      <c r="V20" s="69"/>
      <c r="W20" s="39">
        <f t="shared" si="15"/>
        <v>0</v>
      </c>
      <c r="Z20" s="95" t="str">
        <f>'Verification of Boxes'!J16</f>
        <v>MCEVOY</v>
      </c>
      <c r="AA20" s="37">
        <f t="shared" si="20"/>
        <v>0</v>
      </c>
      <c r="AB20" s="5"/>
      <c r="AC20" s="100">
        <f t="shared" si="16"/>
        <v>0</v>
      </c>
      <c r="AD20" s="110"/>
      <c r="AE20" s="5" t="str">
        <f t="shared" si="19"/>
        <v>excluded</v>
      </c>
      <c r="AF20" s="5">
        <f t="shared" si="17"/>
        <v>0</v>
      </c>
      <c r="AG20" s="96">
        <f t="shared" si="18"/>
        <v>0</v>
      </c>
      <c r="AJ20" s="339" t="s">
        <v>184</v>
      </c>
      <c r="AK20" s="340"/>
      <c r="AL20" s="142">
        <f>AL46</f>
        <v>727.4799999999999</v>
      </c>
      <c r="AM20" s="118"/>
      <c r="AN20" s="142">
        <f>AL20+AG2</f>
        <v>980.74999999999989</v>
      </c>
      <c r="AO20" s="334">
        <f>IF(AN20&gt;AG4,0,IF(AN20&lt;AL21,"Exclude lowest candidate",0))</f>
        <v>0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73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7'!A21&lt;&gt;0,'Stage 7'!A21,IF(S21&gt;=$M$3,"Elected",IF(BP18&lt;&gt;0,"Excluded",0)))</f>
        <v>0</v>
      </c>
      <c r="B21" s="235">
        <f>'Stage 7'!B21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 t="shared" si="12"/>
        <v>0</v>
      </c>
      <c r="S21" s="27">
        <f t="shared" si="13"/>
        <v>0</v>
      </c>
      <c r="T21" s="71"/>
      <c r="U21" s="27">
        <f t="shared" si="14"/>
        <v>0</v>
      </c>
      <c r="V21" s="69"/>
      <c r="W21" s="39">
        <f t="shared" si="15"/>
        <v>0</v>
      </c>
      <c r="Z21" s="95" t="str">
        <f>'Verification of Boxes'!J17</f>
        <v>MITCHELL</v>
      </c>
      <c r="AA21" s="37">
        <f t="shared" si="20"/>
        <v>1007.29</v>
      </c>
      <c r="AB21" s="5"/>
      <c r="AC21" s="100">
        <f t="shared" si="16"/>
        <v>-63.710000000000036</v>
      </c>
      <c r="AD21" s="110"/>
      <c r="AE21" s="5" t="str">
        <f t="shared" si="19"/>
        <v>continuing</v>
      </c>
      <c r="AF21" s="5">
        <f t="shared" si="17"/>
        <v>0</v>
      </c>
      <c r="AG21" s="96">
        <f t="shared" si="18"/>
        <v>0</v>
      </c>
      <c r="AJ21" s="341" t="s">
        <v>185</v>
      </c>
      <c r="AK21" s="293"/>
      <c r="AL21" s="37">
        <f>IF(AL20=1000000,0,AN46)</f>
        <v>931.23</v>
      </c>
      <c r="AM21" s="5">
        <f>AL21-AL20</f>
        <v>203.75000000000011</v>
      </c>
      <c r="AN21" s="5">
        <f>IF(AL21=1000000,0,IF(AN20=0,0,AN20+AL21))</f>
        <v>1911.98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7'!A22&lt;&gt;0,'Stage 7'!A22,IF(S22&gt;=$M$3,"Elected",IF(BP19&lt;&gt;0,"Excluded",0)))</f>
        <v>0</v>
      </c>
      <c r="B22" s="235">
        <f>'Stage 7'!B22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 t="shared" si="12"/>
        <v>0</v>
      </c>
      <c r="S22" s="27">
        <f t="shared" si="13"/>
        <v>0</v>
      </c>
      <c r="T22" s="71"/>
      <c r="U22" s="27">
        <f t="shared" si="14"/>
        <v>0</v>
      </c>
      <c r="V22" s="69"/>
      <c r="W22" s="39">
        <f t="shared" si="15"/>
        <v>0</v>
      </c>
      <c r="Z22" s="95" t="str">
        <f>'Verification of Boxes'!J18</f>
        <v>PALMER</v>
      </c>
      <c r="AA22" s="37">
        <f t="shared" si="20"/>
        <v>727.4799999999999</v>
      </c>
      <c r="AB22" s="5"/>
      <c r="AC22" s="100">
        <f t="shared" si="16"/>
        <v>-343.5200000000001</v>
      </c>
      <c r="AD22" s="110"/>
      <c r="AE22" s="5" t="str">
        <f t="shared" si="19"/>
        <v>continuing</v>
      </c>
      <c r="AF22" s="5">
        <f t="shared" si="17"/>
        <v>0</v>
      </c>
      <c r="AG22" s="96">
        <f t="shared" si="18"/>
        <v>0</v>
      </c>
      <c r="AJ22" s="341" t="s">
        <v>185</v>
      </c>
      <c r="AK22" s="293"/>
      <c r="AL22" s="37">
        <f>IF(AL21=1000000,0,AP46)</f>
        <v>1007.29</v>
      </c>
      <c r="AM22" s="5">
        <f>IF(AL22=1000000,0,IF(AM21=0,0,AL22-AL21))</f>
        <v>76.059999999999945</v>
      </c>
      <c r="AN22" s="5">
        <f>IF(AL22=1000000,0,IF(AN21=0,0,AN21+AL22))</f>
        <v>2919.27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7'!A23&lt;&gt;0,'Stage 7'!A23,IF(S23&gt;=$M$3,"Elected",IF(BP20&lt;&gt;0,"Excluded",0)))</f>
        <v>0</v>
      </c>
      <c r="B23" s="235">
        <f>'Stage 7'!B23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 t="shared" si="12"/>
        <v>0</v>
      </c>
      <c r="S23" s="27">
        <f t="shared" si="13"/>
        <v>0</v>
      </c>
      <c r="T23" s="71"/>
      <c r="U23" s="27">
        <f t="shared" si="14"/>
        <v>0</v>
      </c>
      <c r="V23" s="69"/>
      <c r="W23" s="39">
        <f t="shared" si="15"/>
        <v>0</v>
      </c>
      <c r="Z23" s="95" t="str">
        <f>'Verification of Boxes'!J19</f>
        <v>PORTER</v>
      </c>
      <c r="AA23" s="37">
        <f t="shared" si="20"/>
        <v>931.23</v>
      </c>
      <c r="AB23" s="5"/>
      <c r="AC23" s="100">
        <f t="shared" si="16"/>
        <v>-139.76999999999998</v>
      </c>
      <c r="AD23" s="110"/>
      <c r="AE23" s="5" t="str">
        <f t="shared" si="19"/>
        <v>continuing</v>
      </c>
      <c r="AF23" s="5">
        <f t="shared" si="17"/>
        <v>0</v>
      </c>
      <c r="AG23" s="96">
        <f t="shared" si="18"/>
        <v>0</v>
      </c>
      <c r="AJ23" s="341" t="s">
        <v>185</v>
      </c>
      <c r="AK23" s="293"/>
      <c r="AL23" s="37">
        <f>IF(AL22=1000000,0,AR46)</f>
        <v>1071</v>
      </c>
      <c r="AM23" s="5">
        <f>IF(AL23=1000000,0,IF(AM22=0,0,AL23-AL22))</f>
        <v>63.710000000000036</v>
      </c>
      <c r="AN23" s="5">
        <f>IF(AL23=1000000,0,IF(AN22=0,0,AN22+AL23))</f>
        <v>3990.27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W23" s="128"/>
      <c r="AZ23" s="312"/>
      <c r="BA23" s="3" t="s">
        <v>188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7'!A24&lt;&gt;0,'Stage 7'!A24,IF(S24&gt;=$M$3,"Elected",IF(BP21&lt;&gt;0,"Excluded",0)))</f>
        <v>0</v>
      </c>
      <c r="B24" s="235">
        <f>'Stage 7'!B24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 t="shared" si="12"/>
        <v>0</v>
      </c>
      <c r="S24" s="27">
        <f t="shared" si="13"/>
        <v>0</v>
      </c>
      <c r="T24" s="71"/>
      <c r="U24" s="27">
        <f t="shared" si="14"/>
        <v>0</v>
      </c>
      <c r="V24" s="69"/>
      <c r="W24" s="39">
        <f t="shared" si="15"/>
        <v>0</v>
      </c>
      <c r="Z24" s="95">
        <f>'Verification of Boxes'!J20</f>
        <v>0</v>
      </c>
      <c r="AA24" s="37">
        <f t="shared" si="20"/>
        <v>0</v>
      </c>
      <c r="AB24" s="5"/>
      <c r="AC24" s="100">
        <f t="shared" si="16"/>
        <v>0</v>
      </c>
      <c r="AD24" s="110"/>
      <c r="AE24" s="5">
        <f t="shared" si="19"/>
        <v>0</v>
      </c>
      <c r="AF24" s="5">
        <f t="shared" si="17"/>
        <v>0</v>
      </c>
      <c r="AG24" s="96">
        <f t="shared" si="18"/>
        <v>0</v>
      </c>
      <c r="AJ24" s="341" t="s">
        <v>185</v>
      </c>
      <c r="AK24" s="293"/>
      <c r="AL24" s="37">
        <f>IF(AR46=1000000,0,AU46)</f>
        <v>1324.27</v>
      </c>
      <c r="AM24" s="5">
        <f>IF(AL24=1000000,0,IF(AM23=0,0,AL24-AL23))</f>
        <v>253.26999999999998</v>
      </c>
      <c r="AN24" s="5">
        <f>IF(AL24=1000000,0,IF(AN23=0,0,AN23+AL24))</f>
        <v>5314.54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W24" s="128"/>
      <c r="AZ24" t="s">
        <v>189</v>
      </c>
      <c r="BA24" s="3" t="s">
        <v>190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7'!A25&lt;&gt;0,'Stage 7'!A25,IF(S25&gt;=$M$3,"Elected",IF(BP22&lt;&gt;0,"Excluded",0)))</f>
        <v>0</v>
      </c>
      <c r="B25" s="235">
        <f>'Stage 7'!B25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 t="shared" si="12"/>
        <v>0</v>
      </c>
      <c r="S25" s="27">
        <f t="shared" si="13"/>
        <v>0</v>
      </c>
      <c r="T25" s="71"/>
      <c r="U25" s="27">
        <f t="shared" si="14"/>
        <v>0</v>
      </c>
      <c r="V25" s="69"/>
      <c r="W25" s="39">
        <f t="shared" si="15"/>
        <v>0</v>
      </c>
      <c r="Z25" s="95">
        <f>'Verification of Boxes'!J21</f>
        <v>0</v>
      </c>
      <c r="AA25" s="37">
        <f t="shared" si="20"/>
        <v>0</v>
      </c>
      <c r="AB25" s="5"/>
      <c r="AC25" s="100">
        <f t="shared" si="16"/>
        <v>0</v>
      </c>
      <c r="AD25" s="110"/>
      <c r="AE25" s="5">
        <f t="shared" si="19"/>
        <v>0</v>
      </c>
      <c r="AF25" s="5">
        <f t="shared" si="17"/>
        <v>0</v>
      </c>
      <c r="AG25" s="96">
        <f t="shared" si="18"/>
        <v>0</v>
      </c>
      <c r="AJ25" s="355" t="s">
        <v>185</v>
      </c>
      <c r="AK25" s="356"/>
      <c r="AL25" s="89">
        <f>IF(AL24=1000000,0,AW46)</f>
        <v>1000000</v>
      </c>
      <c r="AM25" s="90">
        <f>IF(AL25=1000000,0,IF(AM24=0,0,AL25-AL24))</f>
        <v>0</v>
      </c>
      <c r="AN25" s="90">
        <f>IF(AL25=1000000,0,IF(AN24=0,0,AN24+AL25))</f>
        <v>0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74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0</v>
      </c>
      <c r="BE25" s="61" t="s">
        <v>193</v>
      </c>
      <c r="BF25" s="5">
        <f>SUM(BF5:BF24)</f>
        <v>82</v>
      </c>
      <c r="BG25" s="100">
        <f>SUM(BG5:BG24)</f>
        <v>82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7'!A26&lt;&gt;0,'Stage 7'!A26,IF(S26&gt;=$M$3,"Elected",IF(BP23&lt;&gt;0,"Excluded",0)))</f>
        <v>0</v>
      </c>
      <c r="B26" s="235">
        <f>'Stage 7'!B26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 t="shared" si="12"/>
        <v>0</v>
      </c>
      <c r="S26" s="27">
        <f t="shared" si="13"/>
        <v>0</v>
      </c>
      <c r="T26" s="71"/>
      <c r="U26" s="27">
        <f t="shared" si="14"/>
        <v>0</v>
      </c>
      <c r="V26" s="69"/>
      <c r="W26" s="39">
        <f t="shared" si="15"/>
        <v>0</v>
      </c>
      <c r="Z26" s="95">
        <f>'Verification of Boxes'!J22</f>
        <v>0</v>
      </c>
      <c r="AA26" s="37">
        <f t="shared" si="20"/>
        <v>0</v>
      </c>
      <c r="AB26" s="5"/>
      <c r="AC26" s="100">
        <f t="shared" si="16"/>
        <v>0</v>
      </c>
      <c r="AD26" s="110"/>
      <c r="AE26" s="5">
        <f t="shared" si="19"/>
        <v>0</v>
      </c>
      <c r="AF26" s="5">
        <f t="shared" si="17"/>
        <v>0</v>
      </c>
      <c r="AG26" s="96">
        <f t="shared" si="18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194</v>
      </c>
      <c r="BF26" s="64">
        <v>293</v>
      </c>
      <c r="BG26" s="100">
        <f>IF(AT5="T",BC25+BC31,0)</f>
        <v>171.26999999999998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7'!A27&lt;&gt;0,'Stage 7'!A27,IF(S27&gt;=$M$3,"Elected",IF(BP24&lt;&gt;0,"Excluded",0)))</f>
        <v>0</v>
      </c>
      <c r="B27" s="235">
        <f>'Stage 7'!B27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 t="shared" si="12"/>
        <v>0</v>
      </c>
      <c r="S27" s="27">
        <f t="shared" si="13"/>
        <v>0</v>
      </c>
      <c r="T27" s="71"/>
      <c r="U27" s="27">
        <f t="shared" si="14"/>
        <v>0</v>
      </c>
      <c r="V27" s="69"/>
      <c r="W27" s="39">
        <f t="shared" si="15"/>
        <v>0</v>
      </c>
      <c r="Z27" s="95">
        <f>'Verification of Boxes'!J23</f>
        <v>0</v>
      </c>
      <c r="AA27" s="37">
        <f t="shared" si="20"/>
        <v>0</v>
      </c>
      <c r="AB27" s="5"/>
      <c r="AC27" s="100">
        <f t="shared" si="16"/>
        <v>0</v>
      </c>
      <c r="AD27" s="110"/>
      <c r="AE27" s="5">
        <f t="shared" si="19"/>
        <v>0</v>
      </c>
      <c r="AF27" s="5">
        <f t="shared" si="17"/>
        <v>0</v>
      </c>
      <c r="AG27" s="96">
        <f t="shared" si="18"/>
        <v>0</v>
      </c>
      <c r="AJ27" s="98"/>
      <c r="AK27" s="98"/>
      <c r="AT27" s="5">
        <f>AW27</f>
        <v>0</v>
      </c>
      <c r="AU27" s="5">
        <f t="shared" ref="AU27:AU32" si="21">IF(AO20&lt;&gt;0,1,0)</f>
        <v>0</v>
      </c>
      <c r="AV27" s="5">
        <f>AU27</f>
        <v>0</v>
      </c>
      <c r="AW27" s="5">
        <f t="shared" ref="AW27:AW32" si="22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375</v>
      </c>
      <c r="BG27" s="101">
        <f>SUM(BG25:BG26)</f>
        <v>253.26999999999998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7'!A28&lt;&gt;0,'Stage 7'!A28,IF(S28&gt;=$M$3,"Elected",IF(BP25&lt;&gt;0,"Excluded",0)))</f>
        <v>0</v>
      </c>
      <c r="B28" s="235">
        <f>'Stage 7'!B28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 t="shared" si="12"/>
        <v>0</v>
      </c>
      <c r="S28" s="27">
        <f t="shared" si="13"/>
        <v>0</v>
      </c>
      <c r="T28" s="71"/>
      <c r="U28" s="27">
        <f t="shared" si="14"/>
        <v>0</v>
      </c>
      <c r="V28" s="69"/>
      <c r="W28" s="39">
        <f t="shared" si="15"/>
        <v>0</v>
      </c>
      <c r="Z28" s="95">
        <f>'Verification of Boxes'!J24</f>
        <v>0</v>
      </c>
      <c r="AA28" s="37">
        <f t="shared" si="20"/>
        <v>0</v>
      </c>
      <c r="AB28" s="5"/>
      <c r="AC28" s="100">
        <f t="shared" si="16"/>
        <v>0</v>
      </c>
      <c r="AD28" s="110"/>
      <c r="AE28" s="5">
        <f t="shared" si="19"/>
        <v>0</v>
      </c>
      <c r="AF28" s="5">
        <f t="shared" si="17"/>
        <v>0</v>
      </c>
      <c r="AG28" s="96">
        <f t="shared" si="18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0</v>
      </c>
      <c r="AU28" s="5">
        <f t="shared" si="21"/>
        <v>0</v>
      </c>
      <c r="AV28" s="5">
        <f>AV27+AU28</f>
        <v>0</v>
      </c>
      <c r="AW28" s="5">
        <f t="shared" si="22"/>
        <v>0</v>
      </c>
      <c r="BA28" s="3"/>
      <c r="BB28" s="3"/>
      <c r="BC28" s="2"/>
      <c r="BO28" s="3"/>
      <c r="BP28" s="28"/>
      <c r="BR28" s="19" t="s">
        <v>123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7'!A29&lt;&gt;0,'Stage 7'!A29,IF(S29&gt;=$M$3,"Elected",IF(BP26&lt;&gt;0,"Excluded",0)))</f>
        <v>0</v>
      </c>
      <c r="B29" s="235">
        <f>'Stage 7'!B29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 t="shared" si="12"/>
        <v>0</v>
      </c>
      <c r="S29" s="27">
        <f t="shared" si="13"/>
        <v>0</v>
      </c>
      <c r="T29" s="71"/>
      <c r="U29" s="27">
        <f t="shared" si="14"/>
        <v>0</v>
      </c>
      <c r="V29" s="69"/>
      <c r="W29" s="39">
        <f t="shared" si="15"/>
        <v>0</v>
      </c>
      <c r="Z29" s="95">
        <f>'Verification of Boxes'!J25</f>
        <v>0</v>
      </c>
      <c r="AA29" s="37">
        <f t="shared" si="20"/>
        <v>0</v>
      </c>
      <c r="AB29" s="5"/>
      <c r="AC29" s="100">
        <f t="shared" si="16"/>
        <v>0</v>
      </c>
      <c r="AD29" s="110"/>
      <c r="AE29" s="5">
        <f t="shared" si="19"/>
        <v>0</v>
      </c>
      <c r="AF29" s="5">
        <f t="shared" si="17"/>
        <v>0</v>
      </c>
      <c r="AG29" s="96">
        <f t="shared" si="18"/>
        <v>0</v>
      </c>
      <c r="AL29" s="330"/>
      <c r="AM29" s="331"/>
      <c r="AN29" s="331"/>
      <c r="AO29" s="331"/>
      <c r="AP29" s="331"/>
      <c r="AQ29" s="332"/>
      <c r="AT29" s="5">
        <f>AT28+AW29</f>
        <v>0</v>
      </c>
      <c r="AU29" s="5">
        <f t="shared" si="21"/>
        <v>0</v>
      </c>
      <c r="AV29" s="5">
        <f>AV28+AU29</f>
        <v>0</v>
      </c>
      <c r="AW29" s="5">
        <f t="shared" si="22"/>
        <v>0</v>
      </c>
      <c r="AZ29" t="s">
        <v>198</v>
      </c>
      <c r="BA29" s="3" t="s">
        <v>178</v>
      </c>
      <c r="BB29" s="3"/>
      <c r="BC29" s="171">
        <f>IF(BC19&lt;=BC12,BC14,0)</f>
        <v>1</v>
      </c>
      <c r="BE29" s="3" t="s">
        <v>199</v>
      </c>
      <c r="BF29">
        <f>BC13</f>
        <v>375</v>
      </c>
      <c r="BO29" s="3"/>
      <c r="BP29" s="28"/>
      <c r="BR29" s="5" t="s">
        <v>200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7'!A30&lt;&gt;0,'Stage 7'!A30,IF(S30&gt;=$M$3,"Elected",IF(BP27&lt;&gt;0,"Excluded",0)))</f>
        <v>0</v>
      </c>
      <c r="B30" s="235">
        <f>'Stage 7'!B30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 t="shared" si="12"/>
        <v>0</v>
      </c>
      <c r="S30" s="27">
        <f t="shared" si="13"/>
        <v>0</v>
      </c>
      <c r="T30" s="71"/>
      <c r="U30" s="27">
        <f t="shared" si="14"/>
        <v>0</v>
      </c>
      <c r="V30" s="69"/>
      <c r="W30" s="39">
        <f t="shared" si="15"/>
        <v>0</v>
      </c>
      <c r="Z30" s="95">
        <f>'Verification of Boxes'!J26</f>
        <v>0</v>
      </c>
      <c r="AA30" s="37">
        <f t="shared" si="20"/>
        <v>0</v>
      </c>
      <c r="AB30" s="5"/>
      <c r="AC30" s="100">
        <f t="shared" si="16"/>
        <v>0</v>
      </c>
      <c r="AD30" s="110"/>
      <c r="AE30" s="5">
        <f t="shared" si="19"/>
        <v>0</v>
      </c>
      <c r="AF30" s="5">
        <f t="shared" si="17"/>
        <v>0</v>
      </c>
      <c r="AG30" s="96">
        <f t="shared" si="18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1"/>
        <v>0</v>
      </c>
      <c r="AV30" s="5">
        <f>AV29+AU30</f>
        <v>0</v>
      </c>
      <c r="AW30" s="5">
        <f t="shared" si="22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258</v>
      </c>
      <c r="BJ30" s="328"/>
      <c r="BK30" s="329"/>
      <c r="BX30" s="333" t="str">
        <f>IF(BW31=BW69,"Calculations OK","Check Count for Error")</f>
        <v>Calculations OK</v>
      </c>
      <c r="BY30" s="333"/>
    </row>
    <row r="31" spans="1:83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1">
        <f>'Stage 3'!H31</f>
        <v>20.059999999999999</v>
      </c>
      <c r="I31" s="135">
        <f>'Stage 3'!I31</f>
        <v>20.079999999999995</v>
      </c>
      <c r="J31" s="71">
        <f>'Stage 4'!J31</f>
        <v>6.7899999999999991</v>
      </c>
      <c r="K31" s="135">
        <f>'Stage 4'!K31</f>
        <v>26.869999999999994</v>
      </c>
      <c r="L31" s="71">
        <f>'Stage 5'!L31</f>
        <v>1.7599999999999092</v>
      </c>
      <c r="M31" s="135">
        <f>'Stage 5'!M31</f>
        <v>28.629999999999903</v>
      </c>
      <c r="N31" s="71">
        <f>'Stage 6'!N31</f>
        <v>35.320000000000007</v>
      </c>
      <c r="O31" s="135">
        <f>'Stage 6'!O31</f>
        <v>63.94999999999991</v>
      </c>
      <c r="P31" s="71">
        <f>'Stage 7'!P31</f>
        <v>228.78</v>
      </c>
      <c r="Q31" s="135">
        <f>'Stage 7'!Q31</f>
        <v>292.7299999999999</v>
      </c>
      <c r="R31" s="71">
        <f>$BK69</f>
        <v>171.26999999999998</v>
      </c>
      <c r="S31" s="40">
        <f t="shared" si="13"/>
        <v>463.99999999999989</v>
      </c>
      <c r="T31" s="72"/>
      <c r="U31" s="40">
        <f t="shared" si="14"/>
        <v>0</v>
      </c>
      <c r="V31" s="70"/>
      <c r="W31" s="41">
        <f t="shared" si="15"/>
        <v>0</v>
      </c>
      <c r="Z31" s="95">
        <f>'Verification of Boxes'!J27</f>
        <v>0</v>
      </c>
      <c r="AA31" s="37">
        <f t="shared" si="20"/>
        <v>0</v>
      </c>
      <c r="AB31" s="5"/>
      <c r="AC31" s="100">
        <f t="shared" si="16"/>
        <v>0</v>
      </c>
      <c r="AD31" s="110"/>
      <c r="AE31" s="5">
        <f t="shared" si="19"/>
        <v>0</v>
      </c>
      <c r="AF31" s="5">
        <f t="shared" si="17"/>
        <v>0</v>
      </c>
      <c r="AG31" s="96">
        <f t="shared" si="18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0</v>
      </c>
      <c r="AU31" s="5">
        <f t="shared" si="21"/>
        <v>0</v>
      </c>
      <c r="AV31" s="5">
        <f>AV30+AU31</f>
        <v>0</v>
      </c>
      <c r="AW31" s="5">
        <f t="shared" si="22"/>
        <v>0</v>
      </c>
      <c r="AZ31" t="s">
        <v>203</v>
      </c>
      <c r="BA31" s="3" t="s">
        <v>204</v>
      </c>
      <c r="BB31" s="3"/>
      <c r="BC31" s="50">
        <f>IF(AT5=0,0,IF(AT5="T",IF(BC19&lt;=BC12,BC12-BC19,0)))</f>
        <v>171.26999999999998</v>
      </c>
      <c r="BE31" s="133" t="s">
        <v>205</v>
      </c>
      <c r="BF31" s="311"/>
      <c r="BG31" s="311"/>
      <c r="BI31" s="330"/>
      <c r="BJ31" s="331"/>
      <c r="BK31" s="332"/>
      <c r="BV31" t="s">
        <v>119</v>
      </c>
      <c r="BW31" s="5">
        <f>BT29+BV29+BX29+BZ29+CB29+CD29</f>
        <v>0</v>
      </c>
      <c r="BX31" s="311"/>
      <c r="BY31" s="311"/>
      <c r="BZ31" s="5">
        <f>BW69-BW31</f>
        <v>0</v>
      </c>
      <c r="CB31" s="327" t="s">
        <v>258</v>
      </c>
      <c r="CC31" s="328"/>
      <c r="CD31" s="328"/>
      <c r="CE31" s="32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1"/>
      <c r="I32" s="135">
        <f>'Stage 3'!I32</f>
        <v>7496</v>
      </c>
      <c r="J32" s="192"/>
      <c r="K32" s="135">
        <f>'Stage 4'!K32</f>
        <v>7495.9999999999991</v>
      </c>
      <c r="L32" s="192"/>
      <c r="M32" s="135">
        <f>'Stage 5'!M32</f>
        <v>7495.9999999999991</v>
      </c>
      <c r="N32" s="192"/>
      <c r="O32" s="135">
        <f>'Stage 6'!O32</f>
        <v>7496</v>
      </c>
      <c r="P32" s="192"/>
      <c r="Q32" s="135">
        <f>'Stage 7'!Q32</f>
        <v>7496</v>
      </c>
      <c r="R32" s="192"/>
      <c r="S32" s="49">
        <f>SUM(S11:S31)</f>
        <v>7496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0"/>
        <v>0</v>
      </c>
      <c r="AB32" s="5"/>
      <c r="AC32" s="100">
        <f t="shared" si="16"/>
        <v>0</v>
      </c>
      <c r="AD32" s="110"/>
      <c r="AE32" s="5">
        <f t="shared" si="19"/>
        <v>0</v>
      </c>
      <c r="AF32" s="5">
        <f t="shared" si="17"/>
        <v>0</v>
      </c>
      <c r="AG32" s="96">
        <f t="shared" si="18"/>
        <v>0</v>
      </c>
      <c r="AL32" s="330"/>
      <c r="AM32" s="331"/>
      <c r="AN32" s="331"/>
      <c r="AO32" s="331"/>
      <c r="AP32" s="331"/>
      <c r="AQ32" s="332"/>
      <c r="AT32" s="5">
        <f>AT31+AW32</f>
        <v>0</v>
      </c>
      <c r="AU32" s="5">
        <f t="shared" si="21"/>
        <v>0</v>
      </c>
      <c r="AV32" s="5">
        <f>AV31+AU32</f>
        <v>0</v>
      </c>
      <c r="AW32" s="5">
        <f t="shared" si="22"/>
        <v>0</v>
      </c>
      <c r="BF32" s="311"/>
      <c r="BG32" s="311"/>
      <c r="BX32" s="311"/>
      <c r="BY32" s="311"/>
      <c r="CB32" s="330"/>
      <c r="CC32" s="331"/>
      <c r="CD32" s="331"/>
      <c r="CE32" s="332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Z33" s="97">
        <f>'Verification of Boxes'!J29</f>
        <v>0</v>
      </c>
      <c r="AA33" s="89">
        <f t="shared" si="20"/>
        <v>0</v>
      </c>
      <c r="AB33" s="90"/>
      <c r="AC33" s="101">
        <f t="shared" si="16"/>
        <v>0</v>
      </c>
      <c r="AD33" s="147"/>
      <c r="AE33" s="90">
        <f t="shared" si="19"/>
        <v>0</v>
      </c>
      <c r="AF33" s="90">
        <f t="shared" si="17"/>
        <v>0</v>
      </c>
      <c r="AG33" s="148">
        <f t="shared" si="18"/>
        <v>0</v>
      </c>
    </row>
    <row r="34" spans="4:75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5">
        <f>'Stage 3'!I34</f>
        <v>0</v>
      </c>
      <c r="J34" s="219"/>
      <c r="K34" s="185">
        <f>'Stage 4'!K34</f>
        <v>0</v>
      </c>
      <c r="L34" s="219"/>
      <c r="M34" s="185">
        <f>'Stage 5'!M34</f>
        <v>0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3">
        <v>0.77361111111111114</v>
      </c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  <c r="Q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</row>
    <row r="38" spans="4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3">AL39+AK40</f>
        <v>0</v>
      </c>
      <c r="AM40" s="5">
        <f t="shared" si="23"/>
        <v>0</v>
      </c>
      <c r="AN40" s="5">
        <f t="shared" si="23"/>
        <v>0</v>
      </c>
      <c r="AO40" s="5">
        <f t="shared" si="23"/>
        <v>0</v>
      </c>
      <c r="AP40" s="5">
        <f t="shared" si="23"/>
        <v>0</v>
      </c>
      <c r="AQ40" s="5">
        <f t="shared" si="23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4">IF(AK40=AL40,1,0)</f>
        <v>1</v>
      </c>
      <c r="AM41" s="5">
        <f t="shared" si="24"/>
        <v>1</v>
      </c>
      <c r="AN41" s="5">
        <f t="shared" si="24"/>
        <v>1</v>
      </c>
      <c r="AO41" s="5">
        <f t="shared" si="24"/>
        <v>1</v>
      </c>
      <c r="AP41" s="5">
        <f t="shared" si="24"/>
        <v>1</v>
      </c>
      <c r="AQ41" s="5">
        <f t="shared" si="24"/>
        <v>1</v>
      </c>
    </row>
    <row r="42" spans="4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25">IF(AM40=AL38,"add",0)</f>
        <v>0</v>
      </c>
      <c r="AM42" s="5">
        <f t="shared" si="25"/>
        <v>0</v>
      </c>
      <c r="AN42" s="5">
        <f t="shared" si="25"/>
        <v>0</v>
      </c>
      <c r="AO42" s="5">
        <f t="shared" si="25"/>
        <v>0</v>
      </c>
      <c r="AP42" s="5">
        <f t="shared" si="25"/>
        <v>0</v>
      </c>
      <c r="AQ42" s="5">
        <f t="shared" si="25"/>
        <v>0</v>
      </c>
    </row>
    <row r="43" spans="4:75" ht="12.75" customHeight="1" x14ac:dyDescent="0.25">
      <c r="Z43" s="250"/>
      <c r="AA43" s="250"/>
      <c r="AB43" s="250"/>
      <c r="AC43" s="250">
        <f>AG2</f>
        <v>253.26999999999998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PALMER</v>
      </c>
      <c r="AA44" s="250">
        <v>727.4799999999999</v>
      </c>
      <c r="AB44" s="250">
        <v>727.4799999999999</v>
      </c>
      <c r="AC44" s="250">
        <f>AC43+AA44</f>
        <v>980.74999999999989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PORTER</v>
      </c>
      <c r="AA45" s="250">
        <v>931.23</v>
      </c>
      <c r="AB45" s="250">
        <v>931.23</v>
      </c>
      <c r="AC45" s="250">
        <f>AC44+AA45</f>
        <v>1911.98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4:75" x14ac:dyDescent="0.25">
      <c r="Z46" s="253" t="str">
        <v>MITCHELL</v>
      </c>
      <c r="AA46" s="250">
        <v>1007.29</v>
      </c>
      <c r="AB46" s="250">
        <v>1007.29</v>
      </c>
      <c r="AC46" s="250">
        <f t="shared" ref="AC46:AC63" si="26">AC45+AA46</f>
        <v>2919.27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727.4799999999999</v>
      </c>
      <c r="AN46" s="2">
        <f>AN47+AL46</f>
        <v>931.23</v>
      </c>
      <c r="AP46" s="2">
        <f>AP47+AN46</f>
        <v>1007.29</v>
      </c>
      <c r="AR46" s="2">
        <f>AR47+AP46</f>
        <v>1071</v>
      </c>
      <c r="AS46" s="2"/>
      <c r="AU46" s="2">
        <f>AU47+AR46</f>
        <v>1324.27</v>
      </c>
      <c r="AW46" s="2">
        <f>AW47+AU46</f>
        <v>1000000</v>
      </c>
      <c r="AX46" s="2"/>
      <c r="BG46" t="s">
        <v>212</v>
      </c>
    </row>
    <row r="47" spans="4:75" x14ac:dyDescent="0.25">
      <c r="Z47" s="253" t="str">
        <v>EWING</v>
      </c>
      <c r="AA47" s="250">
        <v>1071</v>
      </c>
      <c r="AB47" s="250">
        <v>1071</v>
      </c>
      <c r="AC47" s="250">
        <f t="shared" si="26"/>
        <v>3990.27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727.4799999999999</v>
      </c>
      <c r="AN47" s="2">
        <f>MIN(AN48:AN67)</f>
        <v>203.75000000000011</v>
      </c>
      <c r="AP47" s="2">
        <f>MIN(AP48:AP67)</f>
        <v>76.059999999999945</v>
      </c>
      <c r="AR47" s="2">
        <f>MIN(AR48:AR67)</f>
        <v>63.710000000000036</v>
      </c>
      <c r="AS47" s="2"/>
      <c r="AU47" s="2">
        <f>MIN(AU48:AU67)</f>
        <v>253.26999999999998</v>
      </c>
      <c r="AW47" s="2">
        <f>MIN(AW48:AW67)</f>
        <v>998675.73</v>
      </c>
      <c r="AX47" s="2"/>
    </row>
    <row r="48" spans="4:75" ht="37.5" x14ac:dyDescent="0.25">
      <c r="Z48" s="253" t="str">
        <v>GIVAN</v>
      </c>
      <c r="AA48" s="250">
        <v>1071</v>
      </c>
      <c r="AB48" s="250">
        <v>1071</v>
      </c>
      <c r="AC48" s="250">
        <f t="shared" si="26"/>
        <v>5061.2700000000004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7">Z14</f>
        <v>EWING</v>
      </c>
      <c r="AK48" s="2">
        <f t="shared" si="27"/>
        <v>1071</v>
      </c>
      <c r="AL48">
        <f>IF(AK48&lt;&gt;0,AK48,1000000)</f>
        <v>1071</v>
      </c>
      <c r="AM48" s="2">
        <f t="shared" ref="AM48:AM67" si="28">AL48-AL$47</f>
        <v>343.5200000000001</v>
      </c>
      <c r="AN48">
        <f>IF(AM48&lt;&gt;0,AM48,1000000)</f>
        <v>343.5200000000001</v>
      </c>
      <c r="AO48" s="2">
        <f t="shared" ref="AO48:AO67" si="29">AN48-AN$47</f>
        <v>139.76999999999998</v>
      </c>
      <c r="AP48">
        <f t="shared" ref="AP48:AP67" si="30">IF(AO48&lt;&gt;0,AO48,1000000)</f>
        <v>139.76999999999998</v>
      </c>
      <c r="AQ48" s="2">
        <f t="shared" ref="AQ48:AQ67" si="31">AP48-AP$47</f>
        <v>63.710000000000036</v>
      </c>
      <c r="AR48">
        <f t="shared" ref="AR48:AR67" si="32">IF(AQ48&lt;&gt;0,AQ48,1000000)</f>
        <v>63.710000000000036</v>
      </c>
      <c r="AT48" s="2">
        <f t="shared" ref="AT48:AT67" si="33">AR48-AR$47</f>
        <v>0</v>
      </c>
      <c r="AU48">
        <f t="shared" ref="AU48:AU67" si="34">IF(AT48&lt;&gt;0,AT48,1000000)</f>
        <v>1000000</v>
      </c>
      <c r="AV48" s="2">
        <f t="shared" ref="AV48:AV67" si="35">AU48-AU$47</f>
        <v>999746.73</v>
      </c>
      <c r="AW48">
        <f t="shared" ref="AW48:AW67" si="36">IF(AV48&lt;&gt;0,AV48,1000000)</f>
        <v>999746.73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W48" t="s">
        <v>218</v>
      </c>
    </row>
    <row r="49" spans="26:75" x14ac:dyDescent="0.25">
      <c r="Z49" s="253" t="str">
        <v>GREHAN</v>
      </c>
      <c r="AA49" s="250">
        <v>1071</v>
      </c>
      <c r="AB49" s="250">
        <v>1071</v>
      </c>
      <c r="AC49" s="250">
        <f t="shared" si="26"/>
        <v>6132.27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7"/>
        <v>FLYNN</v>
      </c>
      <c r="AK49" s="2">
        <f t="shared" si="27"/>
        <v>0</v>
      </c>
      <c r="AL49">
        <f t="shared" ref="AL49:AL67" si="37">IF(AK49&lt;&gt;0,AK49,1000000)</f>
        <v>1000000</v>
      </c>
      <c r="AM49" s="2">
        <f t="shared" si="28"/>
        <v>999272.52</v>
      </c>
      <c r="AN49">
        <f t="shared" ref="AN49:AN67" si="38">IF(AM49&lt;&gt;0,AM49,1000000)</f>
        <v>999272.52</v>
      </c>
      <c r="AO49" s="2">
        <f t="shared" si="29"/>
        <v>999068.77</v>
      </c>
      <c r="AP49">
        <f t="shared" si="30"/>
        <v>999068.77</v>
      </c>
      <c r="AQ49" s="2">
        <f t="shared" si="31"/>
        <v>998992.71</v>
      </c>
      <c r="AR49">
        <f t="shared" si="32"/>
        <v>998992.71</v>
      </c>
      <c r="AT49" s="2">
        <f t="shared" si="33"/>
        <v>998929</v>
      </c>
      <c r="AU49">
        <f t="shared" si="34"/>
        <v>998929</v>
      </c>
      <c r="AV49" s="2">
        <f t="shared" si="35"/>
        <v>998675.73</v>
      </c>
      <c r="AW49">
        <f t="shared" si="36"/>
        <v>998675.73</v>
      </c>
      <c r="BE49" s="5" t="str">
        <f>IF($BH5="y",$BE5,IF($BH6="y",$BE6,IF($BH7="y",$BE7,IF($BH8="y",$BE8,IF($BH9="y",$BE9,IF($BH10="y",$BE10,0))))))</f>
        <v>KENNEDY</v>
      </c>
      <c r="BG49" s="125" t="str">
        <f t="shared" ref="BG49:BG68" si="39">BE5</f>
        <v>EWING</v>
      </c>
      <c r="BH49" s="126"/>
      <c r="BI49" s="5">
        <f t="shared" ref="BI49:BI68" si="40">IF(BE5=0,0,IF(BE5=BA$8,-BC$12,0))</f>
        <v>0</v>
      </c>
      <c r="BJ49" s="5">
        <f t="shared" ref="BJ49:BJ68" si="41">BN49</f>
        <v>0</v>
      </c>
      <c r="BK49" s="5">
        <f t="shared" ref="BK49:BK68" si="42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KENNEDY</v>
      </c>
      <c r="AA50" s="250">
        <v>1324.27</v>
      </c>
      <c r="AB50" s="250">
        <v>1324.27</v>
      </c>
      <c r="AC50" s="250">
        <f t="shared" si="26"/>
        <v>7456.5400000000009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7"/>
        <v>FRENCH</v>
      </c>
      <c r="AK50" s="2">
        <f t="shared" si="27"/>
        <v>0</v>
      </c>
      <c r="AL50">
        <f t="shared" si="37"/>
        <v>1000000</v>
      </c>
      <c r="AM50" s="2">
        <f t="shared" si="28"/>
        <v>999272.52</v>
      </c>
      <c r="AN50">
        <f t="shared" si="38"/>
        <v>999272.52</v>
      </c>
      <c r="AO50" s="2">
        <f t="shared" si="29"/>
        <v>999068.77</v>
      </c>
      <c r="AP50">
        <f t="shared" si="30"/>
        <v>999068.77</v>
      </c>
      <c r="AQ50" s="2">
        <f t="shared" si="31"/>
        <v>998992.71</v>
      </c>
      <c r="AR50">
        <f t="shared" si="32"/>
        <v>998992.71</v>
      </c>
      <c r="AT50" s="2">
        <f t="shared" si="33"/>
        <v>998929</v>
      </c>
      <c r="AU50">
        <f t="shared" si="34"/>
        <v>998929</v>
      </c>
      <c r="AV50" s="2">
        <f t="shared" si="35"/>
        <v>998675.73</v>
      </c>
      <c r="AW50">
        <f t="shared" si="36"/>
        <v>998675.73</v>
      </c>
      <c r="BE50" s="5">
        <f>IF($BH11="y",$BE11,IF($BH12="y",$BE12,IF($BH13="y",$BE13,IF($BH14="y",$BE14,IF($BH15="y",$BE15,IF($BH16="y",$BE16,0))))))</f>
        <v>0</v>
      </c>
      <c r="BG50" s="127" t="str">
        <f t="shared" si="39"/>
        <v>FLYNN</v>
      </c>
      <c r="BH50" s="128"/>
      <c r="BI50" s="5">
        <f t="shared" si="40"/>
        <v>0</v>
      </c>
      <c r="BJ50" s="5">
        <f t="shared" si="41"/>
        <v>0</v>
      </c>
      <c r="BK50" s="5">
        <f t="shared" si="42"/>
        <v>0</v>
      </c>
      <c r="BN50" s="5">
        <f t="shared" ref="BN50:BN68" si="43">IF(BP9="y",-BO9,0)</f>
        <v>0</v>
      </c>
      <c r="BW50" s="5">
        <f t="shared" ref="BW50:BW68" si="44">IF(BP9="y",BO9,0)</f>
        <v>0</v>
      </c>
    </row>
    <row r="51" spans="26:75" ht="12.75" customHeight="1" x14ac:dyDescent="0.25">
      <c r="Z51" s="253" t="str">
        <v>FLYNN</v>
      </c>
      <c r="AA51" s="250">
        <v>0</v>
      </c>
      <c r="AB51" s="250">
        <v>1000000</v>
      </c>
      <c r="AC51" s="250">
        <f t="shared" si="26"/>
        <v>7456.5400000000009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7"/>
        <v>GIVAN</v>
      </c>
      <c r="AK51" s="2">
        <f t="shared" si="27"/>
        <v>1071</v>
      </c>
      <c r="AL51">
        <f t="shared" si="37"/>
        <v>1071</v>
      </c>
      <c r="AM51" s="2">
        <f t="shared" si="28"/>
        <v>343.5200000000001</v>
      </c>
      <c r="AN51">
        <f t="shared" si="38"/>
        <v>343.5200000000001</v>
      </c>
      <c r="AO51" s="2">
        <f t="shared" si="29"/>
        <v>139.76999999999998</v>
      </c>
      <c r="AP51">
        <f t="shared" si="30"/>
        <v>139.76999999999998</v>
      </c>
      <c r="AQ51" s="2">
        <f t="shared" si="31"/>
        <v>63.710000000000036</v>
      </c>
      <c r="AR51">
        <f t="shared" si="32"/>
        <v>63.710000000000036</v>
      </c>
      <c r="AT51" s="2">
        <f t="shared" si="33"/>
        <v>0</v>
      </c>
      <c r="AU51">
        <f t="shared" si="34"/>
        <v>1000000</v>
      </c>
      <c r="AV51" s="2">
        <f t="shared" si="35"/>
        <v>999746.73</v>
      </c>
      <c r="AW51">
        <f t="shared" si="36"/>
        <v>999746.73</v>
      </c>
      <c r="BE51" s="5">
        <f>IF($BH17="y",$BE17,IF($BH18="y",$BE18,IF($BH19="y",$BE19,IF($BH20="y",$BE20,IF($BH21="y",$BE21,IF($BH22="y",$BE22,0))))))</f>
        <v>0</v>
      </c>
      <c r="BG51" s="127" t="str">
        <f t="shared" si="39"/>
        <v>FRENCH</v>
      </c>
      <c r="BH51" s="128"/>
      <c r="BI51" s="5">
        <f t="shared" si="40"/>
        <v>0</v>
      </c>
      <c r="BJ51" s="5">
        <f t="shared" si="41"/>
        <v>0</v>
      </c>
      <c r="BK51" s="5">
        <f t="shared" si="42"/>
        <v>0</v>
      </c>
      <c r="BN51" s="5">
        <f t="shared" si="43"/>
        <v>0</v>
      </c>
      <c r="BW51" s="5">
        <f t="shared" si="44"/>
        <v>0</v>
      </c>
    </row>
    <row r="52" spans="26:75" x14ac:dyDescent="0.25">
      <c r="Z52" s="253" t="str">
        <v>FRENCH</v>
      </c>
      <c r="AA52" s="250">
        <v>0</v>
      </c>
      <c r="AB52" s="250">
        <v>1000000</v>
      </c>
      <c r="AC52" s="250">
        <f t="shared" si="26"/>
        <v>7456.5400000000009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7"/>
        <v>GREHAN</v>
      </c>
      <c r="AK52" s="2">
        <f t="shared" si="27"/>
        <v>1071</v>
      </c>
      <c r="AL52">
        <f t="shared" si="37"/>
        <v>1071</v>
      </c>
      <c r="AM52" s="2">
        <f t="shared" si="28"/>
        <v>343.5200000000001</v>
      </c>
      <c r="AN52">
        <f t="shared" si="38"/>
        <v>343.5200000000001</v>
      </c>
      <c r="AO52" s="2">
        <f t="shared" si="29"/>
        <v>139.76999999999998</v>
      </c>
      <c r="AP52">
        <f t="shared" si="30"/>
        <v>139.76999999999998</v>
      </c>
      <c r="AQ52" s="2">
        <f t="shared" si="31"/>
        <v>63.710000000000036</v>
      </c>
      <c r="AR52">
        <f t="shared" si="32"/>
        <v>63.710000000000036</v>
      </c>
      <c r="AT52" s="2">
        <f t="shared" si="33"/>
        <v>0</v>
      </c>
      <c r="AU52">
        <f t="shared" si="34"/>
        <v>1000000</v>
      </c>
      <c r="AV52" s="2">
        <f t="shared" si="35"/>
        <v>999746.73</v>
      </c>
      <c r="AW52">
        <f t="shared" si="36"/>
        <v>999746.73</v>
      </c>
      <c r="BE52" s="5">
        <f>IF($BH23="y",$BE23,IF($BH24="y",$BE24,0))</f>
        <v>0</v>
      </c>
      <c r="BG52" s="127" t="str">
        <f t="shared" si="39"/>
        <v>GIVAN</v>
      </c>
      <c r="BH52" s="128"/>
      <c r="BI52" s="5">
        <f t="shared" si="40"/>
        <v>0</v>
      </c>
      <c r="BJ52" s="5">
        <f t="shared" si="41"/>
        <v>0</v>
      </c>
      <c r="BK52" s="5">
        <f t="shared" si="42"/>
        <v>0</v>
      </c>
      <c r="BN52" s="5">
        <f t="shared" si="43"/>
        <v>0</v>
      </c>
      <c r="BW52" s="5">
        <f t="shared" si="44"/>
        <v>0</v>
      </c>
    </row>
    <row r="53" spans="26:75" x14ac:dyDescent="0.25">
      <c r="Z53" s="253" t="str">
        <v>MCEVOY</v>
      </c>
      <c r="AA53" s="250">
        <v>0</v>
      </c>
      <c r="AB53" s="250">
        <v>1000000</v>
      </c>
      <c r="AC53" s="250">
        <f t="shared" si="26"/>
        <v>7456.5400000000009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7"/>
        <v>KENNEDY</v>
      </c>
      <c r="AK53" s="2">
        <f t="shared" si="27"/>
        <v>1324.27</v>
      </c>
      <c r="AL53">
        <f t="shared" si="37"/>
        <v>1324.27</v>
      </c>
      <c r="AM53" s="2">
        <f t="shared" si="28"/>
        <v>596.79000000000008</v>
      </c>
      <c r="AN53">
        <f t="shared" si="38"/>
        <v>596.79000000000008</v>
      </c>
      <c r="AO53" s="2">
        <f t="shared" si="29"/>
        <v>393.03999999999996</v>
      </c>
      <c r="AP53">
        <f t="shared" si="30"/>
        <v>393.03999999999996</v>
      </c>
      <c r="AQ53" s="2">
        <f t="shared" si="31"/>
        <v>316.98</v>
      </c>
      <c r="AR53">
        <f t="shared" si="32"/>
        <v>316.98</v>
      </c>
      <c r="AT53" s="2">
        <f t="shared" si="33"/>
        <v>253.26999999999998</v>
      </c>
      <c r="AU53">
        <f t="shared" si="34"/>
        <v>253.26999999999998</v>
      </c>
      <c r="AV53" s="2">
        <f t="shared" si="35"/>
        <v>0</v>
      </c>
      <c r="AW53">
        <f t="shared" si="36"/>
        <v>1000000</v>
      </c>
      <c r="BG53" s="127" t="str">
        <f t="shared" si="39"/>
        <v>GREHAN</v>
      </c>
      <c r="BH53" s="128"/>
      <c r="BI53" s="5">
        <f t="shared" si="40"/>
        <v>0</v>
      </c>
      <c r="BJ53" s="5">
        <f t="shared" si="41"/>
        <v>0</v>
      </c>
      <c r="BK53" s="5">
        <f t="shared" si="42"/>
        <v>0</v>
      </c>
      <c r="BN53" s="5">
        <f t="shared" si="43"/>
        <v>0</v>
      </c>
      <c r="BW53" s="5">
        <f t="shared" si="44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6"/>
        <v>7456.5400000000009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7"/>
        <v>MCEVOY</v>
      </c>
      <c r="AK54" s="2">
        <f t="shared" si="27"/>
        <v>0</v>
      </c>
      <c r="AL54">
        <f t="shared" si="37"/>
        <v>1000000</v>
      </c>
      <c r="AM54" s="2">
        <f t="shared" si="28"/>
        <v>999272.52</v>
      </c>
      <c r="AN54">
        <f t="shared" si="38"/>
        <v>999272.52</v>
      </c>
      <c r="AO54" s="2">
        <f t="shared" si="29"/>
        <v>999068.77</v>
      </c>
      <c r="AP54">
        <f t="shared" si="30"/>
        <v>999068.77</v>
      </c>
      <c r="AQ54" s="2">
        <f t="shared" si="31"/>
        <v>998992.71</v>
      </c>
      <c r="AR54">
        <f t="shared" si="32"/>
        <v>998992.71</v>
      </c>
      <c r="AT54" s="2">
        <f t="shared" si="33"/>
        <v>998929</v>
      </c>
      <c r="AU54">
        <f t="shared" si="34"/>
        <v>998929</v>
      </c>
      <c r="AV54" s="2">
        <f t="shared" si="35"/>
        <v>998675.73</v>
      </c>
      <c r="AW54">
        <f t="shared" si="36"/>
        <v>998675.73</v>
      </c>
      <c r="BG54" s="127" t="str">
        <f t="shared" si="39"/>
        <v>KENNEDY</v>
      </c>
      <c r="BH54" s="128"/>
      <c r="BI54" s="5">
        <f t="shared" si="40"/>
        <v>-253.26999999999998</v>
      </c>
      <c r="BJ54" s="5">
        <f t="shared" si="41"/>
        <v>0</v>
      </c>
      <c r="BK54" s="5">
        <f t="shared" si="42"/>
        <v>-253.26999999999998</v>
      </c>
      <c r="BN54" s="5">
        <f t="shared" si="43"/>
        <v>0</v>
      </c>
      <c r="BW54" s="5">
        <f t="shared" si="44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6"/>
        <v>7456.5400000000009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7"/>
        <v>MITCHELL</v>
      </c>
      <c r="AK55" s="2">
        <f t="shared" si="27"/>
        <v>1007.29</v>
      </c>
      <c r="AL55">
        <f t="shared" si="37"/>
        <v>1007.29</v>
      </c>
      <c r="AM55" s="2">
        <f t="shared" si="28"/>
        <v>279.81000000000006</v>
      </c>
      <c r="AN55">
        <f t="shared" si="38"/>
        <v>279.81000000000006</v>
      </c>
      <c r="AO55" s="2">
        <f t="shared" si="29"/>
        <v>76.059999999999945</v>
      </c>
      <c r="AP55">
        <f t="shared" si="30"/>
        <v>76.059999999999945</v>
      </c>
      <c r="AQ55" s="2">
        <f t="shared" si="31"/>
        <v>0</v>
      </c>
      <c r="AR55">
        <f t="shared" si="32"/>
        <v>1000000</v>
      </c>
      <c r="AT55" s="2">
        <f t="shared" si="33"/>
        <v>999936.29</v>
      </c>
      <c r="AU55">
        <f t="shared" si="34"/>
        <v>999936.29</v>
      </c>
      <c r="AV55" s="2">
        <f t="shared" si="35"/>
        <v>999683.02</v>
      </c>
      <c r="AW55">
        <f t="shared" si="36"/>
        <v>999683.02</v>
      </c>
      <c r="BG55" s="127" t="str">
        <f t="shared" si="39"/>
        <v>MCEVOY</v>
      </c>
      <c r="BH55" s="128"/>
      <c r="BI55" s="5">
        <f t="shared" si="40"/>
        <v>0</v>
      </c>
      <c r="BJ55" s="5">
        <f t="shared" si="41"/>
        <v>0</v>
      </c>
      <c r="BK55" s="5">
        <f t="shared" si="42"/>
        <v>0</v>
      </c>
      <c r="BN55" s="5">
        <f t="shared" si="43"/>
        <v>0</v>
      </c>
      <c r="BW55" s="5">
        <f t="shared" si="44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6"/>
        <v>7456.5400000000009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7"/>
        <v>PALMER</v>
      </c>
      <c r="AK56" s="2">
        <f t="shared" si="27"/>
        <v>727.4799999999999</v>
      </c>
      <c r="AL56">
        <f t="shared" si="37"/>
        <v>727.4799999999999</v>
      </c>
      <c r="AM56" s="2">
        <f t="shared" si="28"/>
        <v>0</v>
      </c>
      <c r="AN56">
        <f t="shared" si="38"/>
        <v>1000000</v>
      </c>
      <c r="AO56" s="2">
        <f t="shared" si="29"/>
        <v>999796.25</v>
      </c>
      <c r="AP56">
        <f t="shared" si="30"/>
        <v>999796.25</v>
      </c>
      <c r="AQ56" s="2">
        <f t="shared" si="31"/>
        <v>999720.19</v>
      </c>
      <c r="AR56">
        <f t="shared" si="32"/>
        <v>999720.19</v>
      </c>
      <c r="AT56" s="2">
        <f t="shared" si="33"/>
        <v>999656.48</v>
      </c>
      <c r="AU56">
        <f t="shared" si="34"/>
        <v>999656.48</v>
      </c>
      <c r="AV56" s="2">
        <f t="shared" si="35"/>
        <v>999403.21</v>
      </c>
      <c r="AW56">
        <f t="shared" si="36"/>
        <v>999403.21</v>
      </c>
      <c r="BG56" s="127" t="str">
        <f t="shared" si="39"/>
        <v>MITCHELL</v>
      </c>
      <c r="BH56" s="128"/>
      <c r="BI56" s="5">
        <f t="shared" si="40"/>
        <v>0</v>
      </c>
      <c r="BJ56" s="5">
        <f t="shared" si="41"/>
        <v>0</v>
      </c>
      <c r="BK56" s="5">
        <f t="shared" si="42"/>
        <v>58</v>
      </c>
      <c r="BN56" s="5">
        <f t="shared" si="43"/>
        <v>0</v>
      </c>
      <c r="BW56" s="5">
        <f t="shared" si="44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6"/>
        <v>7456.5400000000009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7"/>
        <v>PORTER</v>
      </c>
      <c r="AK57" s="2">
        <f t="shared" si="27"/>
        <v>931.23</v>
      </c>
      <c r="AL57">
        <f t="shared" si="37"/>
        <v>931.23</v>
      </c>
      <c r="AM57" s="2">
        <f t="shared" si="28"/>
        <v>203.75000000000011</v>
      </c>
      <c r="AN57">
        <f t="shared" si="38"/>
        <v>203.75000000000011</v>
      </c>
      <c r="AO57" s="2">
        <f t="shared" si="29"/>
        <v>0</v>
      </c>
      <c r="AP57">
        <f t="shared" si="30"/>
        <v>1000000</v>
      </c>
      <c r="AQ57" s="2">
        <f t="shared" si="31"/>
        <v>999923.94</v>
      </c>
      <c r="AR57">
        <f t="shared" si="32"/>
        <v>999923.94</v>
      </c>
      <c r="AT57" s="2">
        <f t="shared" si="33"/>
        <v>999860.23</v>
      </c>
      <c r="AU57">
        <f t="shared" si="34"/>
        <v>999860.23</v>
      </c>
      <c r="AV57" s="2">
        <f t="shared" si="35"/>
        <v>999606.96</v>
      </c>
      <c r="AW57">
        <f t="shared" si="36"/>
        <v>999606.96</v>
      </c>
      <c r="BG57" s="127" t="str">
        <f t="shared" si="39"/>
        <v>PALMER</v>
      </c>
      <c r="BH57" s="128"/>
      <c r="BI57" s="5">
        <f t="shared" si="40"/>
        <v>0</v>
      </c>
      <c r="BJ57" s="5">
        <f t="shared" si="41"/>
        <v>0</v>
      </c>
      <c r="BK57" s="5">
        <f t="shared" si="42"/>
        <v>18</v>
      </c>
      <c r="BN57" s="5">
        <f t="shared" si="43"/>
        <v>0</v>
      </c>
      <c r="BW57" s="5">
        <f t="shared" si="44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6"/>
        <v>7456.5400000000009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7"/>
        <v>0</v>
      </c>
      <c r="AK58" s="2">
        <f t="shared" si="27"/>
        <v>0</v>
      </c>
      <c r="AL58">
        <f t="shared" si="37"/>
        <v>1000000</v>
      </c>
      <c r="AM58" s="2">
        <f t="shared" si="28"/>
        <v>999272.52</v>
      </c>
      <c r="AN58">
        <f t="shared" si="38"/>
        <v>999272.52</v>
      </c>
      <c r="AO58" s="2">
        <f t="shared" si="29"/>
        <v>999068.77</v>
      </c>
      <c r="AP58">
        <f t="shared" si="30"/>
        <v>999068.77</v>
      </c>
      <c r="AQ58" s="2">
        <f t="shared" si="31"/>
        <v>998992.71</v>
      </c>
      <c r="AR58">
        <f t="shared" si="32"/>
        <v>998992.71</v>
      </c>
      <c r="AT58" s="2">
        <f t="shared" si="33"/>
        <v>998929</v>
      </c>
      <c r="AU58">
        <f t="shared" si="34"/>
        <v>998929</v>
      </c>
      <c r="AV58" s="2">
        <f t="shared" si="35"/>
        <v>998675.73</v>
      </c>
      <c r="AW58">
        <f t="shared" si="36"/>
        <v>998675.73</v>
      </c>
      <c r="BG58" s="127" t="str">
        <f t="shared" si="39"/>
        <v>PORTER</v>
      </c>
      <c r="BH58" s="128"/>
      <c r="BI58" s="5">
        <f t="shared" si="40"/>
        <v>0</v>
      </c>
      <c r="BJ58" s="5">
        <f t="shared" si="41"/>
        <v>0</v>
      </c>
      <c r="BK58" s="5">
        <f t="shared" si="42"/>
        <v>6</v>
      </c>
      <c r="BN58" s="5">
        <f t="shared" si="43"/>
        <v>0</v>
      </c>
      <c r="BW58" s="5">
        <f t="shared" si="44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6"/>
        <v>7456.5400000000009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7"/>
        <v>0</v>
      </c>
      <c r="AK59" s="2">
        <f t="shared" si="27"/>
        <v>0</v>
      </c>
      <c r="AL59">
        <f t="shared" si="37"/>
        <v>1000000</v>
      </c>
      <c r="AM59" s="2">
        <f t="shared" si="28"/>
        <v>999272.52</v>
      </c>
      <c r="AN59">
        <f t="shared" si="38"/>
        <v>999272.52</v>
      </c>
      <c r="AO59" s="2">
        <f t="shared" si="29"/>
        <v>999068.77</v>
      </c>
      <c r="AP59">
        <f t="shared" si="30"/>
        <v>999068.77</v>
      </c>
      <c r="AQ59" s="2">
        <f t="shared" si="31"/>
        <v>998992.71</v>
      </c>
      <c r="AR59">
        <f t="shared" si="32"/>
        <v>998992.71</v>
      </c>
      <c r="AT59" s="2">
        <f t="shared" si="33"/>
        <v>998929</v>
      </c>
      <c r="AU59">
        <f t="shared" si="34"/>
        <v>998929</v>
      </c>
      <c r="AV59" s="2">
        <f t="shared" si="35"/>
        <v>998675.73</v>
      </c>
      <c r="AW59">
        <f t="shared" si="36"/>
        <v>998675.73</v>
      </c>
      <c r="BG59" s="127">
        <f t="shared" si="39"/>
        <v>0</v>
      </c>
      <c r="BH59" s="128"/>
      <c r="BI59" s="5">
        <f t="shared" si="40"/>
        <v>0</v>
      </c>
      <c r="BJ59" s="5">
        <f t="shared" si="41"/>
        <v>0</v>
      </c>
      <c r="BK59" s="5">
        <f t="shared" si="42"/>
        <v>0</v>
      </c>
      <c r="BN59" s="5">
        <f t="shared" si="43"/>
        <v>0</v>
      </c>
      <c r="BW59" s="5">
        <f t="shared" si="44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6"/>
        <v>7456.5400000000009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7"/>
        <v>0</v>
      </c>
      <c r="AK60" s="2">
        <f t="shared" si="27"/>
        <v>0</v>
      </c>
      <c r="AL60">
        <f t="shared" si="37"/>
        <v>1000000</v>
      </c>
      <c r="AM60" s="2">
        <f t="shared" si="28"/>
        <v>999272.52</v>
      </c>
      <c r="AN60">
        <f t="shared" si="38"/>
        <v>999272.52</v>
      </c>
      <c r="AO60" s="2">
        <f t="shared" si="29"/>
        <v>999068.77</v>
      </c>
      <c r="AP60">
        <f t="shared" si="30"/>
        <v>999068.77</v>
      </c>
      <c r="AQ60" s="2">
        <f t="shared" si="31"/>
        <v>998992.71</v>
      </c>
      <c r="AR60">
        <f t="shared" si="32"/>
        <v>998992.71</v>
      </c>
      <c r="AT60" s="2">
        <f t="shared" si="33"/>
        <v>998929</v>
      </c>
      <c r="AU60">
        <f t="shared" si="34"/>
        <v>998929</v>
      </c>
      <c r="AV60" s="2">
        <f t="shared" si="35"/>
        <v>998675.73</v>
      </c>
      <c r="AW60">
        <f t="shared" si="36"/>
        <v>998675.73</v>
      </c>
      <c r="BG60" s="127">
        <f t="shared" si="39"/>
        <v>0</v>
      </c>
      <c r="BH60" s="128"/>
      <c r="BI60" s="5">
        <f t="shared" si="40"/>
        <v>0</v>
      </c>
      <c r="BJ60" s="5">
        <f t="shared" si="41"/>
        <v>0</v>
      </c>
      <c r="BK60" s="5">
        <f t="shared" si="42"/>
        <v>0</v>
      </c>
      <c r="BN60" s="5">
        <f t="shared" si="43"/>
        <v>0</v>
      </c>
      <c r="BW60" s="5">
        <f t="shared" si="44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6"/>
        <v>7456.5400000000009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7"/>
        <v>0</v>
      </c>
      <c r="AK61" s="2">
        <f t="shared" si="27"/>
        <v>0</v>
      </c>
      <c r="AL61">
        <f t="shared" si="37"/>
        <v>1000000</v>
      </c>
      <c r="AM61" s="2">
        <f t="shared" si="28"/>
        <v>999272.52</v>
      </c>
      <c r="AN61">
        <f t="shared" si="38"/>
        <v>999272.52</v>
      </c>
      <c r="AO61" s="2">
        <f t="shared" si="29"/>
        <v>999068.77</v>
      </c>
      <c r="AP61">
        <f t="shared" si="30"/>
        <v>999068.77</v>
      </c>
      <c r="AQ61" s="2">
        <f t="shared" si="31"/>
        <v>998992.71</v>
      </c>
      <c r="AR61">
        <f t="shared" si="32"/>
        <v>998992.71</v>
      </c>
      <c r="AT61" s="2">
        <f t="shared" si="33"/>
        <v>998929</v>
      </c>
      <c r="AU61">
        <f t="shared" si="34"/>
        <v>998929</v>
      </c>
      <c r="AV61" s="2">
        <f t="shared" si="35"/>
        <v>998675.73</v>
      </c>
      <c r="AW61">
        <f t="shared" si="36"/>
        <v>998675.73</v>
      </c>
      <c r="BG61" s="127">
        <f t="shared" si="39"/>
        <v>0</v>
      </c>
      <c r="BH61" s="128"/>
      <c r="BI61" s="5">
        <f t="shared" si="40"/>
        <v>0</v>
      </c>
      <c r="BJ61" s="5">
        <f t="shared" si="41"/>
        <v>0</v>
      </c>
      <c r="BK61" s="5">
        <f t="shared" si="42"/>
        <v>0</v>
      </c>
      <c r="BN61" s="5">
        <f t="shared" si="43"/>
        <v>0</v>
      </c>
      <c r="BW61" s="5">
        <f t="shared" si="44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6"/>
        <v>7456.5400000000009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7"/>
        <v>0</v>
      </c>
      <c r="AK62" s="2">
        <f t="shared" si="27"/>
        <v>0</v>
      </c>
      <c r="AL62">
        <f t="shared" si="37"/>
        <v>1000000</v>
      </c>
      <c r="AM62" s="2">
        <f t="shared" si="28"/>
        <v>999272.52</v>
      </c>
      <c r="AN62">
        <f t="shared" si="38"/>
        <v>999272.52</v>
      </c>
      <c r="AO62" s="2">
        <f t="shared" si="29"/>
        <v>999068.77</v>
      </c>
      <c r="AP62">
        <f t="shared" si="30"/>
        <v>999068.77</v>
      </c>
      <c r="AQ62" s="2">
        <f t="shared" si="31"/>
        <v>998992.71</v>
      </c>
      <c r="AR62">
        <f t="shared" si="32"/>
        <v>998992.71</v>
      </c>
      <c r="AT62" s="2">
        <f t="shared" si="33"/>
        <v>998929</v>
      </c>
      <c r="AU62">
        <f t="shared" si="34"/>
        <v>998929</v>
      </c>
      <c r="AV62" s="2">
        <f t="shared" si="35"/>
        <v>998675.73</v>
      </c>
      <c r="AW62">
        <f t="shared" si="36"/>
        <v>998675.73</v>
      </c>
      <c r="BG62" s="127">
        <f t="shared" si="39"/>
        <v>0</v>
      </c>
      <c r="BH62" s="128"/>
      <c r="BI62" s="5">
        <f t="shared" si="40"/>
        <v>0</v>
      </c>
      <c r="BJ62" s="5">
        <f t="shared" si="41"/>
        <v>0</v>
      </c>
      <c r="BK62" s="5">
        <f t="shared" si="42"/>
        <v>0</v>
      </c>
      <c r="BN62" s="5">
        <f t="shared" si="43"/>
        <v>0</v>
      </c>
      <c r="BW62" s="5">
        <f t="shared" si="44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6"/>
        <v>7456.5400000000009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7"/>
        <v>0</v>
      </c>
      <c r="AK63" s="2">
        <f t="shared" si="27"/>
        <v>0</v>
      </c>
      <c r="AL63">
        <f t="shared" si="37"/>
        <v>1000000</v>
      </c>
      <c r="AM63" s="2">
        <f t="shared" si="28"/>
        <v>999272.52</v>
      </c>
      <c r="AN63">
        <f t="shared" si="38"/>
        <v>999272.52</v>
      </c>
      <c r="AO63" s="2">
        <f t="shared" si="29"/>
        <v>999068.77</v>
      </c>
      <c r="AP63">
        <f t="shared" si="30"/>
        <v>999068.77</v>
      </c>
      <c r="AQ63" s="2">
        <f t="shared" si="31"/>
        <v>998992.71</v>
      </c>
      <c r="AR63">
        <f t="shared" si="32"/>
        <v>998992.71</v>
      </c>
      <c r="AT63" s="2">
        <f t="shared" si="33"/>
        <v>998929</v>
      </c>
      <c r="AU63">
        <f t="shared" si="34"/>
        <v>998929</v>
      </c>
      <c r="AV63" s="2">
        <f t="shared" si="35"/>
        <v>998675.73</v>
      </c>
      <c r="AW63">
        <f t="shared" si="36"/>
        <v>998675.73</v>
      </c>
      <c r="BG63" s="127">
        <f t="shared" si="39"/>
        <v>0</v>
      </c>
      <c r="BH63" s="128"/>
      <c r="BI63" s="5">
        <f t="shared" si="40"/>
        <v>0</v>
      </c>
      <c r="BJ63" s="5">
        <f t="shared" si="41"/>
        <v>0</v>
      </c>
      <c r="BK63" s="5">
        <f t="shared" si="42"/>
        <v>0</v>
      </c>
      <c r="BN63" s="5">
        <f t="shared" si="43"/>
        <v>0</v>
      </c>
      <c r="BW63" s="5">
        <f t="shared" si="44"/>
        <v>0</v>
      </c>
    </row>
    <row r="64" spans="26:75" ht="15" customHeight="1" x14ac:dyDescent="0.25">
      <c r="AJ64">
        <f t="shared" ref="AJ64:AK67" si="45">Z30</f>
        <v>0</v>
      </c>
      <c r="AK64" s="2">
        <f t="shared" si="45"/>
        <v>0</v>
      </c>
      <c r="AL64">
        <f t="shared" si="37"/>
        <v>1000000</v>
      </c>
      <c r="AM64" s="2">
        <f t="shared" si="28"/>
        <v>999272.52</v>
      </c>
      <c r="AN64">
        <f t="shared" si="38"/>
        <v>999272.52</v>
      </c>
      <c r="AO64" s="2">
        <f t="shared" si="29"/>
        <v>999068.77</v>
      </c>
      <c r="AP64">
        <f t="shared" si="30"/>
        <v>999068.77</v>
      </c>
      <c r="AQ64" s="2">
        <f t="shared" si="31"/>
        <v>998992.71</v>
      </c>
      <c r="AR64">
        <f t="shared" si="32"/>
        <v>998992.71</v>
      </c>
      <c r="AT64" s="2">
        <f t="shared" si="33"/>
        <v>998929</v>
      </c>
      <c r="AU64">
        <f t="shared" si="34"/>
        <v>998929</v>
      </c>
      <c r="AV64" s="2">
        <f t="shared" si="35"/>
        <v>998675.73</v>
      </c>
      <c r="AW64">
        <f t="shared" si="36"/>
        <v>998675.73</v>
      </c>
      <c r="BG64" s="127">
        <f t="shared" si="39"/>
        <v>0</v>
      </c>
      <c r="BH64" s="128"/>
      <c r="BI64" s="5">
        <f t="shared" si="40"/>
        <v>0</v>
      </c>
      <c r="BJ64" s="5">
        <f t="shared" si="41"/>
        <v>0</v>
      </c>
      <c r="BK64" s="5">
        <f t="shared" si="42"/>
        <v>0</v>
      </c>
      <c r="BN64" s="5">
        <f t="shared" si="43"/>
        <v>0</v>
      </c>
      <c r="BW64" s="5">
        <f t="shared" si="44"/>
        <v>0</v>
      </c>
    </row>
    <row r="65" spans="36:75" x14ac:dyDescent="0.25">
      <c r="AJ65">
        <f t="shared" si="45"/>
        <v>0</v>
      </c>
      <c r="AK65" s="2">
        <f t="shared" si="45"/>
        <v>0</v>
      </c>
      <c r="AL65">
        <f t="shared" si="37"/>
        <v>1000000</v>
      </c>
      <c r="AM65" s="2">
        <f t="shared" si="28"/>
        <v>999272.52</v>
      </c>
      <c r="AN65">
        <f t="shared" si="38"/>
        <v>999272.52</v>
      </c>
      <c r="AO65" s="2">
        <f t="shared" si="29"/>
        <v>999068.77</v>
      </c>
      <c r="AP65">
        <f t="shared" si="30"/>
        <v>999068.77</v>
      </c>
      <c r="AQ65" s="2">
        <f t="shared" si="31"/>
        <v>998992.71</v>
      </c>
      <c r="AR65">
        <f t="shared" si="32"/>
        <v>998992.71</v>
      </c>
      <c r="AT65" s="2">
        <f t="shared" si="33"/>
        <v>998929</v>
      </c>
      <c r="AU65">
        <f t="shared" si="34"/>
        <v>998929</v>
      </c>
      <c r="AV65" s="2">
        <f t="shared" si="35"/>
        <v>998675.73</v>
      </c>
      <c r="AW65">
        <f t="shared" si="36"/>
        <v>998675.73</v>
      </c>
      <c r="BG65" s="127">
        <f t="shared" si="39"/>
        <v>0</v>
      </c>
      <c r="BH65" s="128"/>
      <c r="BI65" s="5">
        <f t="shared" si="40"/>
        <v>0</v>
      </c>
      <c r="BJ65" s="5">
        <f t="shared" si="41"/>
        <v>0</v>
      </c>
      <c r="BK65" s="5">
        <f t="shared" si="42"/>
        <v>0</v>
      </c>
      <c r="BN65" s="5">
        <f t="shared" si="43"/>
        <v>0</v>
      </c>
      <c r="BW65" s="5">
        <f t="shared" si="44"/>
        <v>0</v>
      </c>
    </row>
    <row r="66" spans="36:75" ht="14.25" customHeight="1" x14ac:dyDescent="0.25">
      <c r="AJ66">
        <f t="shared" si="45"/>
        <v>0</v>
      </c>
      <c r="AK66" s="2">
        <f t="shared" si="45"/>
        <v>0</v>
      </c>
      <c r="AL66">
        <f t="shared" si="37"/>
        <v>1000000</v>
      </c>
      <c r="AM66" s="2">
        <f t="shared" si="28"/>
        <v>999272.52</v>
      </c>
      <c r="AN66">
        <f t="shared" si="38"/>
        <v>999272.52</v>
      </c>
      <c r="AO66" s="2">
        <f t="shared" si="29"/>
        <v>999068.77</v>
      </c>
      <c r="AP66">
        <f t="shared" si="30"/>
        <v>999068.77</v>
      </c>
      <c r="AQ66" s="2">
        <f t="shared" si="31"/>
        <v>998992.71</v>
      </c>
      <c r="AR66">
        <f t="shared" si="32"/>
        <v>998992.71</v>
      </c>
      <c r="AT66" s="2">
        <f t="shared" si="33"/>
        <v>998929</v>
      </c>
      <c r="AU66">
        <f t="shared" si="34"/>
        <v>998929</v>
      </c>
      <c r="AV66" s="2">
        <f t="shared" si="35"/>
        <v>998675.73</v>
      </c>
      <c r="AW66">
        <f t="shared" si="36"/>
        <v>998675.73</v>
      </c>
      <c r="BG66" s="127">
        <f t="shared" si="39"/>
        <v>0</v>
      </c>
      <c r="BH66" s="128"/>
      <c r="BI66" s="5">
        <f t="shared" si="40"/>
        <v>0</v>
      </c>
      <c r="BJ66" s="5">
        <f t="shared" si="41"/>
        <v>0</v>
      </c>
      <c r="BK66" s="5">
        <f t="shared" si="42"/>
        <v>0</v>
      </c>
      <c r="BN66" s="5">
        <f t="shared" si="43"/>
        <v>0</v>
      </c>
      <c r="BW66" s="5">
        <f t="shared" si="44"/>
        <v>0</v>
      </c>
    </row>
    <row r="67" spans="36:75" x14ac:dyDescent="0.25">
      <c r="AJ67">
        <f t="shared" si="45"/>
        <v>0</v>
      </c>
      <c r="AK67" s="2">
        <f t="shared" si="45"/>
        <v>0</v>
      </c>
      <c r="AL67">
        <f t="shared" si="37"/>
        <v>1000000</v>
      </c>
      <c r="AM67" s="2">
        <f t="shared" si="28"/>
        <v>999272.52</v>
      </c>
      <c r="AN67">
        <f t="shared" si="38"/>
        <v>999272.52</v>
      </c>
      <c r="AO67" s="2">
        <f t="shared" si="29"/>
        <v>999068.77</v>
      </c>
      <c r="AP67">
        <f t="shared" si="30"/>
        <v>999068.77</v>
      </c>
      <c r="AQ67" s="2">
        <f t="shared" si="31"/>
        <v>998992.71</v>
      </c>
      <c r="AR67">
        <f t="shared" si="32"/>
        <v>998992.71</v>
      </c>
      <c r="AT67" s="2">
        <f t="shared" si="33"/>
        <v>998929</v>
      </c>
      <c r="AU67">
        <f t="shared" si="34"/>
        <v>998929</v>
      </c>
      <c r="AV67" s="2">
        <f t="shared" si="35"/>
        <v>998675.73</v>
      </c>
      <c r="AW67">
        <f t="shared" si="36"/>
        <v>998675.73</v>
      </c>
      <c r="BG67" s="127">
        <f t="shared" si="39"/>
        <v>0</v>
      </c>
      <c r="BH67" s="128"/>
      <c r="BI67" s="5">
        <f t="shared" si="40"/>
        <v>0</v>
      </c>
      <c r="BJ67" s="5">
        <f t="shared" si="41"/>
        <v>0</v>
      </c>
      <c r="BK67" s="5">
        <f t="shared" si="42"/>
        <v>0</v>
      </c>
      <c r="BN67" s="5">
        <f t="shared" si="43"/>
        <v>0</v>
      </c>
      <c r="BW67" s="5">
        <f t="shared" si="44"/>
        <v>0</v>
      </c>
    </row>
    <row r="68" spans="36:75" x14ac:dyDescent="0.25">
      <c r="BG68" s="129">
        <f t="shared" si="39"/>
        <v>0</v>
      </c>
      <c r="BH68" s="130"/>
      <c r="BI68" s="5">
        <f t="shared" si="40"/>
        <v>0</v>
      </c>
      <c r="BJ68" s="5">
        <f t="shared" si="41"/>
        <v>0</v>
      </c>
      <c r="BK68" s="5">
        <f t="shared" si="42"/>
        <v>0</v>
      </c>
      <c r="BN68" s="5">
        <f t="shared" si="43"/>
        <v>0</v>
      </c>
      <c r="BW68" s="5">
        <f t="shared" si="44"/>
        <v>0</v>
      </c>
    </row>
    <row r="69" spans="36:75" ht="12.75" customHeight="1" x14ac:dyDescent="0.25">
      <c r="BG69" t="s">
        <v>219</v>
      </c>
      <c r="BI69" s="5">
        <f>BG26</f>
        <v>171.26999999999998</v>
      </c>
      <c r="BJ69" s="5">
        <f>CE28</f>
        <v>0</v>
      </c>
      <c r="BK69" s="5">
        <f>BI69+BJ69</f>
        <v>171.26999999999998</v>
      </c>
      <c r="BW69" s="5">
        <f>SUM(BW49:BW68)</f>
        <v>0</v>
      </c>
    </row>
    <row r="70" spans="36:75" x14ac:dyDescent="0.25">
      <c r="BK70" s="5">
        <f>BG27+CE29</f>
        <v>253.26999999999998</v>
      </c>
    </row>
    <row r="82" spans="41:46" x14ac:dyDescent="0.25">
      <c r="AO82" s="5">
        <f>IF(AO20&lt;&gt;0,1,0)</f>
        <v>0</v>
      </c>
      <c r="AP82" s="5"/>
      <c r="AQ82" s="5">
        <f t="shared" ref="AQ82:AR88" si="46">IF(AQ20&lt;&gt;0,1,0)</f>
        <v>0</v>
      </c>
      <c r="AR82" s="19">
        <f t="shared" si="46"/>
        <v>0</v>
      </c>
      <c r="AS82" s="19"/>
      <c r="AT82" s="5">
        <f>SUM(AO82:AR82)</f>
        <v>0</v>
      </c>
    </row>
    <row r="83" spans="41:46" x14ac:dyDescent="0.25">
      <c r="AO83" s="5">
        <f t="shared" ref="AO83:AO88" si="47">IF(AO21&lt;&gt;0,1,0)</f>
        <v>0</v>
      </c>
      <c r="AP83" s="5"/>
      <c r="AQ83" s="5">
        <f t="shared" si="46"/>
        <v>0</v>
      </c>
      <c r="AR83" s="19">
        <f t="shared" si="46"/>
        <v>0</v>
      </c>
      <c r="AS83" s="19"/>
      <c r="AT83" s="5">
        <f t="shared" ref="AT83:AT88" si="48">SUM(AO83:AR83)</f>
        <v>0</v>
      </c>
    </row>
    <row r="84" spans="41:46" x14ac:dyDescent="0.25">
      <c r="AO84" s="5">
        <f t="shared" si="47"/>
        <v>0</v>
      </c>
      <c r="AP84" s="5"/>
      <c r="AQ84" s="5">
        <f t="shared" si="46"/>
        <v>0</v>
      </c>
      <c r="AR84" s="19">
        <f t="shared" si="46"/>
        <v>0</v>
      </c>
      <c r="AS84" s="19"/>
      <c r="AT84" s="5">
        <f t="shared" si="48"/>
        <v>0</v>
      </c>
    </row>
    <row r="85" spans="41:46" x14ac:dyDescent="0.25">
      <c r="AO85" s="5">
        <f t="shared" si="47"/>
        <v>0</v>
      </c>
      <c r="AP85" s="5"/>
      <c r="AQ85" s="5">
        <f t="shared" si="46"/>
        <v>0</v>
      </c>
      <c r="AR85" s="19">
        <f t="shared" si="46"/>
        <v>0</v>
      </c>
      <c r="AS85" s="19"/>
      <c r="AT85" s="5">
        <f t="shared" si="48"/>
        <v>0</v>
      </c>
    </row>
    <row r="86" spans="41:46" x14ac:dyDescent="0.25">
      <c r="AO86" s="5">
        <f t="shared" si="47"/>
        <v>0</v>
      </c>
      <c r="AP86" s="5"/>
      <c r="AQ86" s="5">
        <f t="shared" si="46"/>
        <v>0</v>
      </c>
      <c r="AR86" s="19">
        <f t="shared" si="46"/>
        <v>0</v>
      </c>
      <c r="AS86" s="19"/>
      <c r="AT86" s="5">
        <f t="shared" si="48"/>
        <v>0</v>
      </c>
    </row>
    <row r="87" spans="41:46" x14ac:dyDescent="0.25">
      <c r="AO87" s="5">
        <f t="shared" si="47"/>
        <v>0</v>
      </c>
      <c r="AP87" s="5"/>
      <c r="AQ87" s="5">
        <f t="shared" si="46"/>
        <v>0</v>
      </c>
      <c r="AR87" s="19">
        <f t="shared" si="46"/>
        <v>0</v>
      </c>
      <c r="AS87" s="19"/>
      <c r="AT87" s="5">
        <f t="shared" si="48"/>
        <v>0</v>
      </c>
    </row>
    <row r="88" spans="41:46" x14ac:dyDescent="0.25">
      <c r="AO88" s="5">
        <f t="shared" si="47"/>
        <v>0</v>
      </c>
      <c r="AP88" s="5"/>
      <c r="AQ88" s="5">
        <f t="shared" si="46"/>
        <v>0</v>
      </c>
      <c r="AR88" s="19">
        <f t="shared" si="46"/>
        <v>0</v>
      </c>
      <c r="AS88" s="19"/>
      <c r="AT88" s="5">
        <f t="shared" si="48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259</v>
      </c>
      <c r="DF210" s="231" t="s">
        <v>221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R11</f>
        <v>0</v>
      </c>
      <c r="DF211" s="233">
        <f>S11</f>
        <v>1071</v>
      </c>
    </row>
    <row r="212" spans="105:110" ht="15.5" x14ac:dyDescent="0.35">
      <c r="DA212" s="232" t="str">
        <f t="shared" ref="DA212:DA230" si="49">IF(A12="Elected","E",IF(A12="Excluded","Excluded",""))&amp;IF(B12&gt;0,B12,"")</f>
        <v>Excluded</v>
      </c>
      <c r="DB212" s="232" t="str">
        <f t="shared" ref="DB212:DD227" si="50">C12</f>
        <v>FLYNN</v>
      </c>
      <c r="DC212" s="232" t="str">
        <f t="shared" si="50"/>
        <v>Sinn Féin</v>
      </c>
      <c r="DD212" s="233">
        <f t="shared" si="50"/>
        <v>493</v>
      </c>
      <c r="DE212" s="233">
        <f t="shared" ref="DE212:DF212" si="51">R12</f>
        <v>0</v>
      </c>
      <c r="DF212" s="233">
        <f t="shared" si="51"/>
        <v>0</v>
      </c>
    </row>
    <row r="213" spans="105:110" ht="15.5" x14ac:dyDescent="0.35">
      <c r="DA213" s="232" t="str">
        <f t="shared" si="49"/>
        <v>Excluded</v>
      </c>
      <c r="DB213" s="232" t="str">
        <f t="shared" si="50"/>
        <v>FRENCH</v>
      </c>
      <c r="DC213" s="232" t="str">
        <f t="shared" si="50"/>
        <v xml:space="preserve">SDLP </v>
      </c>
      <c r="DD213" s="233">
        <f t="shared" si="50"/>
        <v>472</v>
      </c>
      <c r="DE213" s="233">
        <f t="shared" ref="DE213:DF213" si="52">R13</f>
        <v>0</v>
      </c>
      <c r="DF213" s="233">
        <f t="shared" si="52"/>
        <v>0</v>
      </c>
    </row>
    <row r="214" spans="105:110" ht="15.5" x14ac:dyDescent="0.35">
      <c r="DA214" s="232" t="str">
        <f t="shared" si="49"/>
        <v>E3</v>
      </c>
      <c r="DB214" s="232" t="str">
        <f t="shared" si="50"/>
        <v>GIVAN</v>
      </c>
      <c r="DC214" s="232" t="str">
        <f t="shared" si="50"/>
        <v>D.U.P.</v>
      </c>
      <c r="DD214" s="233">
        <f t="shared" si="50"/>
        <v>1038</v>
      </c>
      <c r="DE214" s="233">
        <f t="shared" ref="DE214:DF214" si="53">R14</f>
        <v>0</v>
      </c>
      <c r="DF214" s="233">
        <f t="shared" si="53"/>
        <v>1071</v>
      </c>
    </row>
    <row r="215" spans="105:110" ht="15.5" x14ac:dyDescent="0.35">
      <c r="DA215" s="232" t="str">
        <f t="shared" si="49"/>
        <v>E2</v>
      </c>
      <c r="DB215" s="232" t="str">
        <f t="shared" si="50"/>
        <v>GREHAN</v>
      </c>
      <c r="DC215" s="232" t="str">
        <f t="shared" si="50"/>
        <v>Alliance Party</v>
      </c>
      <c r="DD215" s="233">
        <f t="shared" si="50"/>
        <v>1111</v>
      </c>
      <c r="DE215" s="233">
        <f t="shared" ref="DE215:DF215" si="54">R15</f>
        <v>0</v>
      </c>
      <c r="DF215" s="233">
        <f t="shared" si="54"/>
        <v>1071</v>
      </c>
    </row>
    <row r="216" spans="105:110" ht="15.5" x14ac:dyDescent="0.35">
      <c r="DA216" s="232" t="str">
        <f t="shared" si="49"/>
        <v>E4</v>
      </c>
      <c r="DB216" s="232" t="str">
        <f t="shared" si="50"/>
        <v>KENNEDY</v>
      </c>
      <c r="DC216" s="232" t="str">
        <f t="shared" si="50"/>
        <v>Alliance Party</v>
      </c>
      <c r="DD216" s="233">
        <f t="shared" si="50"/>
        <v>674</v>
      </c>
      <c r="DE216" s="233">
        <f t="shared" ref="DE216:DF216" si="55">R16</f>
        <v>-253.26999999999998</v>
      </c>
      <c r="DF216" s="233">
        <f t="shared" si="55"/>
        <v>1071</v>
      </c>
    </row>
    <row r="217" spans="105:110" ht="15.5" x14ac:dyDescent="0.35">
      <c r="DA217" s="232" t="str">
        <f t="shared" si="49"/>
        <v>Excluded</v>
      </c>
      <c r="DB217" s="232" t="str">
        <f t="shared" si="50"/>
        <v>MCEVOY</v>
      </c>
      <c r="DC217" s="232" t="str">
        <f t="shared" si="50"/>
        <v xml:space="preserve">TUV </v>
      </c>
      <c r="DD217" s="233">
        <f t="shared" si="50"/>
        <v>387</v>
      </c>
      <c r="DE217" s="233">
        <f t="shared" ref="DE217:DF217" si="56">R17</f>
        <v>0</v>
      </c>
      <c r="DF217" s="233">
        <f t="shared" si="56"/>
        <v>0</v>
      </c>
    </row>
    <row r="218" spans="105:110" ht="15.5" x14ac:dyDescent="0.35">
      <c r="DA218" s="232" t="str">
        <f t="shared" si="49"/>
        <v>5</v>
      </c>
      <c r="DB218" s="232" t="str">
        <f t="shared" si="50"/>
        <v>MITCHELL</v>
      </c>
      <c r="DC218" s="232" t="str">
        <f t="shared" si="50"/>
        <v>UUP</v>
      </c>
      <c r="DD218" s="233">
        <f t="shared" si="50"/>
        <v>870</v>
      </c>
      <c r="DE218" s="233">
        <f t="shared" ref="DE218:DF218" si="57">R18</f>
        <v>58</v>
      </c>
      <c r="DF218" s="233">
        <f t="shared" si="57"/>
        <v>1065.29</v>
      </c>
    </row>
    <row r="219" spans="105:110" ht="15.5" x14ac:dyDescent="0.35">
      <c r="DA219" s="232" t="str">
        <f t="shared" si="49"/>
        <v/>
      </c>
      <c r="DB219" s="232" t="str">
        <f t="shared" si="50"/>
        <v>PALMER</v>
      </c>
      <c r="DC219" s="232" t="str">
        <f t="shared" si="50"/>
        <v>UUP</v>
      </c>
      <c r="DD219" s="233">
        <f t="shared" si="50"/>
        <v>625</v>
      </c>
      <c r="DE219" s="233">
        <f t="shared" ref="DE219:DF219" si="58">R19</f>
        <v>18</v>
      </c>
      <c r="DF219" s="233">
        <f t="shared" si="58"/>
        <v>745.4799999999999</v>
      </c>
    </row>
    <row r="220" spans="105:110" ht="15.5" x14ac:dyDescent="0.35">
      <c r="DA220" s="232" t="str">
        <f t="shared" si="49"/>
        <v>6</v>
      </c>
      <c r="DB220" s="232" t="str">
        <f t="shared" si="50"/>
        <v>PORTER</v>
      </c>
      <c r="DC220" s="232" t="str">
        <f t="shared" si="50"/>
        <v>D.U.P.</v>
      </c>
      <c r="DD220" s="233">
        <f t="shared" si="50"/>
        <v>687</v>
      </c>
      <c r="DE220" s="233">
        <f t="shared" ref="DE220:DF220" si="59">R20</f>
        <v>6</v>
      </c>
      <c r="DF220" s="233">
        <f t="shared" si="59"/>
        <v>937.23</v>
      </c>
    </row>
    <row r="221" spans="105:110" ht="15.5" x14ac:dyDescent="0.35">
      <c r="DA221" s="232" t="str">
        <f t="shared" si="49"/>
        <v/>
      </c>
      <c r="DB221" s="232">
        <f t="shared" si="50"/>
        <v>0</v>
      </c>
      <c r="DC221" s="232">
        <f t="shared" si="50"/>
        <v>0</v>
      </c>
      <c r="DD221" s="233">
        <f t="shared" si="50"/>
        <v>0</v>
      </c>
      <c r="DE221" s="233">
        <f t="shared" ref="DE221:DF221" si="60">R21</f>
        <v>0</v>
      </c>
      <c r="DF221" s="233">
        <f t="shared" si="60"/>
        <v>0</v>
      </c>
    </row>
    <row r="222" spans="105:110" ht="15.5" x14ac:dyDescent="0.35">
      <c r="DA222" s="232" t="str">
        <f t="shared" si="49"/>
        <v/>
      </c>
      <c r="DB222" s="232">
        <f t="shared" si="50"/>
        <v>0</v>
      </c>
      <c r="DC222" s="232">
        <f t="shared" si="50"/>
        <v>0</v>
      </c>
      <c r="DD222" s="233">
        <f t="shared" si="50"/>
        <v>0</v>
      </c>
      <c r="DE222" s="233">
        <f t="shared" ref="DE222:DF222" si="61">R22</f>
        <v>0</v>
      </c>
      <c r="DF222" s="233">
        <f t="shared" si="61"/>
        <v>0</v>
      </c>
    </row>
    <row r="223" spans="105:110" ht="15.5" x14ac:dyDescent="0.35">
      <c r="DA223" s="232" t="str">
        <f t="shared" si="49"/>
        <v/>
      </c>
      <c r="DB223" s="232">
        <f t="shared" si="50"/>
        <v>0</v>
      </c>
      <c r="DC223" s="232">
        <f t="shared" si="50"/>
        <v>0</v>
      </c>
      <c r="DD223" s="233">
        <f t="shared" si="50"/>
        <v>0</v>
      </c>
      <c r="DE223" s="233">
        <f t="shared" ref="DE223:DF223" si="62">R23</f>
        <v>0</v>
      </c>
      <c r="DF223" s="233">
        <f t="shared" si="62"/>
        <v>0</v>
      </c>
    </row>
    <row r="224" spans="105:110" ht="15.5" x14ac:dyDescent="0.35">
      <c r="DA224" s="232" t="str">
        <f t="shared" si="49"/>
        <v/>
      </c>
      <c r="DB224" s="232">
        <f t="shared" si="50"/>
        <v>0</v>
      </c>
      <c r="DC224" s="232">
        <f t="shared" si="50"/>
        <v>0</v>
      </c>
      <c r="DD224" s="233">
        <f t="shared" si="50"/>
        <v>0</v>
      </c>
      <c r="DE224" s="233">
        <f t="shared" ref="DE224:DF224" si="63">R24</f>
        <v>0</v>
      </c>
      <c r="DF224" s="233">
        <f t="shared" si="63"/>
        <v>0</v>
      </c>
    </row>
    <row r="225" spans="105:110" ht="15.5" x14ac:dyDescent="0.35">
      <c r="DA225" s="232" t="str">
        <f t="shared" si="49"/>
        <v/>
      </c>
      <c r="DB225" s="232">
        <f t="shared" si="50"/>
        <v>0</v>
      </c>
      <c r="DC225" s="232">
        <f t="shared" si="50"/>
        <v>0</v>
      </c>
      <c r="DD225" s="233">
        <f t="shared" si="50"/>
        <v>0</v>
      </c>
      <c r="DE225" s="233">
        <f t="shared" ref="DE225:DF225" si="64">R25</f>
        <v>0</v>
      </c>
      <c r="DF225" s="233">
        <f t="shared" si="64"/>
        <v>0</v>
      </c>
    </row>
    <row r="226" spans="105:110" ht="15.5" x14ac:dyDescent="0.35">
      <c r="DA226" s="232" t="str">
        <f t="shared" si="49"/>
        <v/>
      </c>
      <c r="DB226" s="232">
        <f t="shared" si="50"/>
        <v>0</v>
      </c>
      <c r="DC226" s="232">
        <f t="shared" si="50"/>
        <v>0</v>
      </c>
      <c r="DD226" s="233">
        <f t="shared" si="50"/>
        <v>0</v>
      </c>
      <c r="DE226" s="233">
        <f t="shared" ref="DE226:DF226" si="65">R26</f>
        <v>0</v>
      </c>
      <c r="DF226" s="233">
        <f t="shared" si="65"/>
        <v>0</v>
      </c>
    </row>
    <row r="227" spans="105:110" ht="15.5" x14ac:dyDescent="0.35">
      <c r="DA227" s="232" t="str">
        <f t="shared" si="49"/>
        <v/>
      </c>
      <c r="DB227" s="232">
        <f t="shared" si="50"/>
        <v>0</v>
      </c>
      <c r="DC227" s="232">
        <f t="shared" si="50"/>
        <v>0</v>
      </c>
      <c r="DD227" s="233">
        <f t="shared" si="50"/>
        <v>0</v>
      </c>
      <c r="DE227" s="233">
        <f t="shared" ref="DE227:DF227" si="66">R27</f>
        <v>0</v>
      </c>
      <c r="DF227" s="233">
        <f t="shared" si="66"/>
        <v>0</v>
      </c>
    </row>
    <row r="228" spans="105:110" ht="15.5" x14ac:dyDescent="0.35">
      <c r="DA228" s="232" t="str">
        <f t="shared" si="49"/>
        <v/>
      </c>
      <c r="DB228" s="232">
        <f t="shared" ref="DB228:DD230" si="67">C28</f>
        <v>0</v>
      </c>
      <c r="DC228" s="232">
        <f t="shared" si="67"/>
        <v>0</v>
      </c>
      <c r="DD228" s="233">
        <f t="shared" si="67"/>
        <v>0</v>
      </c>
      <c r="DE228" s="233">
        <f t="shared" ref="DE228:DF228" si="68">R28</f>
        <v>0</v>
      </c>
      <c r="DF228" s="233">
        <f t="shared" si="68"/>
        <v>0</v>
      </c>
    </row>
    <row r="229" spans="105:110" ht="15.5" x14ac:dyDescent="0.35">
      <c r="DA229" s="232" t="str">
        <f t="shared" si="49"/>
        <v/>
      </c>
      <c r="DB229" s="232">
        <f t="shared" si="67"/>
        <v>0</v>
      </c>
      <c r="DC229" s="232">
        <f t="shared" si="67"/>
        <v>0</v>
      </c>
      <c r="DD229" s="233">
        <f t="shared" si="67"/>
        <v>0</v>
      </c>
      <c r="DE229" s="233">
        <f t="shared" ref="DE229:DF229" si="69">R29</f>
        <v>0</v>
      </c>
      <c r="DF229" s="233">
        <f t="shared" si="69"/>
        <v>0</v>
      </c>
    </row>
    <row r="230" spans="105:110" ht="15.5" x14ac:dyDescent="0.35">
      <c r="DA230" s="232" t="str">
        <f t="shared" si="49"/>
        <v/>
      </c>
      <c r="DB230" s="232">
        <f t="shared" si="67"/>
        <v>0</v>
      </c>
      <c r="DC230" s="232">
        <f t="shared" si="67"/>
        <v>0</v>
      </c>
      <c r="DD230" s="233">
        <f t="shared" si="67"/>
        <v>0</v>
      </c>
      <c r="DE230" s="233">
        <f t="shared" ref="DE230:DF230" si="70">R30</f>
        <v>0</v>
      </c>
      <c r="DF230" s="233">
        <f t="shared" si="70"/>
        <v>0</v>
      </c>
    </row>
    <row r="231" spans="105:110" ht="15.5" x14ac:dyDescent="0.35">
      <c r="DC231" s="234" t="s">
        <v>123</v>
      </c>
      <c r="DD231" s="234"/>
      <c r="DE231" s="233">
        <f t="shared" ref="DE231:DF231" si="71">R31</f>
        <v>171.26999999999998</v>
      </c>
      <c r="DF231" s="233">
        <f t="shared" si="71"/>
        <v>463.99999999999989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 t="shared" ref="DF232" si="72">S32</f>
        <v>7496</v>
      </c>
    </row>
  </sheetData>
  <sheetProtection sheet="1" objects="1" scenarios="1"/>
  <protectedRanges>
    <protectedRange sqref="BP8:BP27" name="Range22"/>
    <protectedRange sqref="BH5:BH24" name="Range21"/>
    <protectedRange sqref="BF26" name="Range7"/>
    <protectedRange sqref="BF5:BF24" name="Range6"/>
    <protectedRange sqref="BC13:BC14" name="Range5"/>
    <protectedRange sqref="BC10" name="Range4"/>
    <protectedRange sqref="S34:S36" name="Range1"/>
    <protectedRange sqref="BT3:BZ3" name="Range8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AQ5" name="Range3_1"/>
  </protectedRanges>
  <mergeCells count="84">
    <mergeCell ref="AZ22:AZ23"/>
    <mergeCell ref="AJ21:AK21"/>
    <mergeCell ref="AO21:AP21"/>
    <mergeCell ref="AO22:AP22"/>
    <mergeCell ref="CB31:CE32"/>
    <mergeCell ref="AL31:AQ32"/>
    <mergeCell ref="BF30:BG32"/>
    <mergeCell ref="BI30:BK31"/>
    <mergeCell ref="BX30:BY32"/>
    <mergeCell ref="AL28:AQ29"/>
    <mergeCell ref="AJ25:AK25"/>
    <mergeCell ref="AJ24:AK24"/>
    <mergeCell ref="AO24:AP24"/>
    <mergeCell ref="AO25:AP25"/>
    <mergeCell ref="AO23:AP23"/>
    <mergeCell ref="AJ22:AK22"/>
    <mergeCell ref="AJ23:AK23"/>
    <mergeCell ref="E4:F4"/>
    <mergeCell ref="F6:G6"/>
    <mergeCell ref="H6:I6"/>
    <mergeCell ref="F7:G7"/>
    <mergeCell ref="H7:I7"/>
    <mergeCell ref="U4:W4"/>
    <mergeCell ref="J6:K6"/>
    <mergeCell ref="J7:K7"/>
    <mergeCell ref="F9:G9"/>
    <mergeCell ref="R8:S8"/>
    <mergeCell ref="J8:K8"/>
    <mergeCell ref="L8:M8"/>
    <mergeCell ref="N8:O8"/>
    <mergeCell ref="H9:I9"/>
    <mergeCell ref="J9:K9"/>
    <mergeCell ref="L9:M9"/>
    <mergeCell ref="T8:U8"/>
    <mergeCell ref="N9:O9"/>
    <mergeCell ref="P9:Q9"/>
    <mergeCell ref="R9:S9"/>
    <mergeCell ref="T9:U9"/>
    <mergeCell ref="P8:Q8"/>
    <mergeCell ref="K1:L1"/>
    <mergeCell ref="H3:I3"/>
    <mergeCell ref="O4:S4"/>
    <mergeCell ref="O3:S3"/>
    <mergeCell ref="H4:I4"/>
    <mergeCell ref="E3:F3"/>
    <mergeCell ref="O2:S2"/>
    <mergeCell ref="AK6:AP7"/>
    <mergeCell ref="Z3:AF3"/>
    <mergeCell ref="AM13:AM17"/>
    <mergeCell ref="AO13:AO17"/>
    <mergeCell ref="F8:G8"/>
    <mergeCell ref="H8:I8"/>
    <mergeCell ref="Z4:AF4"/>
    <mergeCell ref="L7:M7"/>
    <mergeCell ref="Z2:AF2"/>
    <mergeCell ref="AL3:AQ3"/>
    <mergeCell ref="AK9:AP10"/>
    <mergeCell ref="AL13:AL17"/>
    <mergeCell ref="R6:S6"/>
    <mergeCell ref="AP13:AP17"/>
    <mergeCell ref="CB2:CE2"/>
    <mergeCell ref="BI3:BK3"/>
    <mergeCell ref="BI2:BK2"/>
    <mergeCell ref="BT3:BZ3"/>
    <mergeCell ref="AQ13:AQ17"/>
    <mergeCell ref="BP5:BP7"/>
    <mergeCell ref="AQ6:AR7"/>
    <mergeCell ref="AQ9:AR10"/>
    <mergeCell ref="DE209:DF209"/>
    <mergeCell ref="L6:M6"/>
    <mergeCell ref="N6:O6"/>
    <mergeCell ref="N7:O7"/>
    <mergeCell ref="V8:W8"/>
    <mergeCell ref="Z6:AF7"/>
    <mergeCell ref="T6:U6"/>
    <mergeCell ref="T7:U7"/>
    <mergeCell ref="P7:Q7"/>
    <mergeCell ref="P6:Q6"/>
    <mergeCell ref="R7:S7"/>
    <mergeCell ref="V6:W6"/>
    <mergeCell ref="V7:W7"/>
    <mergeCell ref="AO20:AP20"/>
    <mergeCell ref="AN13:AN19"/>
    <mergeCell ref="AJ20:AK20"/>
  </mergeCells>
  <phoneticPr fontId="0" type="noConversion"/>
  <conditionalFormatting sqref="V4:W4">
    <cfRule type="cellIs" dxfId="95" priority="1" stopIfTrue="1" operator="equal">
      <formula>"Totals Correct"</formula>
    </cfRule>
    <cfRule type="cellIs" dxfId="94" priority="2" stopIfTrue="1" operator="equal">
      <formula>"ERROR"</formula>
    </cfRule>
  </conditionalFormatting>
  <conditionalFormatting sqref="U4">
    <cfRule type="cellIs" dxfId="93" priority="3" stopIfTrue="1" operator="equal">
      <formula>"OK TO MOVE TO NEXT STAGE"</formula>
    </cfRule>
    <cfRule type="cellIs" dxfId="92" priority="4" stopIfTrue="1" operator="equal">
      <formula>"DO NOT MOVE TO NEXT STAGE"</formula>
    </cfRule>
  </conditionalFormatting>
  <conditionalFormatting sqref="AL3">
    <cfRule type="cellIs" dxfId="91" priority="5" stopIfTrue="1" operator="notEqual">
      <formula>0</formula>
    </cfRule>
  </conditionalFormatting>
  <conditionalFormatting sqref="BF30:BG31">
    <cfRule type="cellIs" dxfId="90" priority="6" stopIfTrue="1" operator="equal">
      <formula>"NONE"</formula>
    </cfRule>
    <cfRule type="cellIs" dxfId="89" priority="7" stopIfTrue="1" operator="notEqual">
      <formula>"NONE"</formula>
    </cfRule>
  </conditionalFormatting>
  <conditionalFormatting sqref="BX30">
    <cfRule type="cellIs" dxfId="88" priority="8" stopIfTrue="1" operator="equal">
      <formula>"Calculations OK"</formula>
    </cfRule>
    <cfRule type="cellIs" dxfId="87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8'!Y1:AR1" display="BACK to DECISION FORM Stage 8"/>
    <hyperlink ref="O4:S4" location="'Stage 9'!Y1:AR1" display="FORWARD TO STAGE 9"/>
    <hyperlink ref="Z6:AF7" location="'Stage 7'!A1" display="BACK to Overview of STAGE 7"/>
    <hyperlink ref="AL28" location="'Stage 2'!BI1" display="MOVE TO TRANSFER OF SURPLUS VOTES FORM"/>
    <hyperlink ref="AL31" location="'Stage 2'!CC1" display="MOVE TO EXCLUDE CANDIDATE FORM"/>
    <hyperlink ref="AL28:AQ29" location="'Stage 8'!AY1:BK1" display="MOVE TO TRANSFER OF SURPLUS VOTES FORM"/>
    <hyperlink ref="AL31:AQ32" location="'Stage 8'!BN1:CE1" display="MOVE TO EXCLUDE CANDIDATE FORM"/>
    <hyperlink ref="BI3:BK3" location="'Stage 8'!Y1:AR1" display="BACK to DECISION FORM"/>
    <hyperlink ref="BI30:BK31" location="'Stage 8'!A1" display="FORWARD to OVERVIEW OF STAGE 8"/>
    <hyperlink ref="CB2" location="'Stage 2'!AQ5" display="MOVE TO NEXT FORM"/>
    <hyperlink ref="CB2:CE2" location="'Stage 8'!Y1:AR1" display="BACK to DECISION FORM"/>
    <hyperlink ref="CB31" location="'Stage 2'!A1" display="HOME TO OVERVIEW OF STAGE 2"/>
    <hyperlink ref="CB31:CE32" location="'Stage 8'!A1" display="FORWARD to OVERVIEW OF STAGE 8"/>
  </hyperlinks>
  <pageMargins left="0.75" right="0.75" top="1" bottom="1" header="0.5" footer="0.5"/>
  <pageSetup paperSize="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DF232"/>
  <sheetViews>
    <sheetView showGridLines="0" showZeros="0" topLeftCell="X1" zoomScale="75" workbookViewId="0">
      <selection activeCell="Z6" sqref="Z6:AF7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8.90625" customWidth="1"/>
    <col min="25" max="25" width="4.0898437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453125" customWidth="1"/>
    <col min="43" max="43" width="11.08984375" customWidth="1"/>
    <col min="44" max="44" width="16.453125" customWidth="1"/>
    <col min="45" max="45" width="226" customWidth="1"/>
    <col min="50" max="50" width="217" customWidth="1"/>
    <col min="51" max="51" width="5.363281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7.08984375" customWidth="1"/>
    <col min="67" max="67" width="9.453125" customWidth="1"/>
    <col min="68" max="68" width="7.45312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110</v>
      </c>
      <c r="J1" s="85" t="s">
        <v>37</v>
      </c>
      <c r="K1" s="319">
        <f>'Basic Input'!C2</f>
        <v>45064</v>
      </c>
      <c r="L1" s="319"/>
      <c r="Z1" s="10" t="s">
        <v>260</v>
      </c>
      <c r="AQ1" s="33"/>
      <c r="AZ1" s="10" t="s">
        <v>126</v>
      </c>
      <c r="BE1" s="34" t="str">
        <f>IF(AT5="T","COMPLETE THIS FORM","YOU HAVE NOT SELECTED TO COMPLETE THIS FORM")</f>
        <v>YOU HAVE NOT SELECTED TO COMPLETE THIS FORM</v>
      </c>
      <c r="BR1" s="10" t="s">
        <v>127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261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I2" s="313"/>
      <c r="BJ2" s="313"/>
      <c r="BK2" s="313"/>
      <c r="BR2" s="36" t="s">
        <v>110</v>
      </c>
      <c r="CB2" s="345" t="s">
        <v>131</v>
      </c>
      <c r="CC2" s="346"/>
      <c r="CD2" s="346"/>
      <c r="CE2" s="347"/>
    </row>
    <row r="3" spans="1:105" ht="18.5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23"/>
      <c r="P3" s="323"/>
      <c r="Q3" s="323"/>
      <c r="R3" s="323"/>
      <c r="S3" s="323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0</v>
      </c>
      <c r="AJ3" s="163"/>
      <c r="AK3" s="163"/>
      <c r="AL3" s="352" t="str">
        <f>IF(AQ5="n","MOVE TO EXCLUDE CANDIDATE FORM",IF(AQ5="y","MOVE TO TRANSFER OF SURPLUS VOTES FORM",0))</f>
        <v>MOVE TO EXCLUDE CANDIDATE FORM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R3" s="81" t="s">
        <v>133</v>
      </c>
      <c r="BS3" s="82"/>
      <c r="BT3" s="348" t="s">
        <v>60</v>
      </c>
      <c r="BU3" s="349"/>
      <c r="BV3" s="349"/>
      <c r="BW3" s="349"/>
      <c r="BX3" s="349"/>
      <c r="BY3" s="349"/>
      <c r="BZ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262</v>
      </c>
      <c r="P4" s="346"/>
      <c r="Q4" s="346"/>
      <c r="R4" s="346"/>
      <c r="S4" s="347"/>
      <c r="U4" s="311" t="str">
        <f>IF(U33="ERROR","DO NOT MOVE TO NEXT STAGE","OK TO MOVE TO NEXT STAGE")</f>
        <v>DO NOT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 t="s">
        <v>226</v>
      </c>
      <c r="AT5" s="7" t="str">
        <f>IF(AQ5=0,0,IF(AQ5="Y","T","E"))</f>
        <v>E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IF(C11=0,0,IF(S11=0,"Excluded",0))</f>
        <v>0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27" t="s">
        <v>263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Exclude</v>
      </c>
      <c r="AR6" s="302"/>
      <c r="AS6" s="181"/>
      <c r="AT6" s="91"/>
      <c r="AU6" s="91"/>
      <c r="AW6" s="33"/>
      <c r="AX6" s="33"/>
      <c r="AZ6" s="36" t="s">
        <v>110</v>
      </c>
      <c r="BA6" s="245"/>
      <c r="BE6" s="61" t="str">
        <f>'Verification of Boxes'!J11</f>
        <v>FLYNN</v>
      </c>
      <c r="BF6" s="64"/>
      <c r="BG6" s="100">
        <f t="shared" si="0"/>
        <v>0</v>
      </c>
      <c r="BH6" s="150"/>
      <c r="BI6" s="5" t="str">
        <f t="shared" ref="BI6:BI24" si="1">IF(A12&lt;&gt;0,A12,0)</f>
        <v>Excluded</v>
      </c>
      <c r="BJ6" s="5" t="str">
        <f t="shared" ref="BJ6:BJ24" si="2">IF(C12=0,0,IF(S12=0,"Excluded",0))</f>
        <v>Excluded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IF($AT5=0,0,IF($AT5="T",$AZ7,$BR4))</f>
        <v>Exclude</v>
      </c>
      <c r="U7" s="362"/>
      <c r="V7" s="309"/>
      <c r="W7" s="310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EWING</v>
      </c>
      <c r="G8" s="364"/>
      <c r="H8" s="359" t="str">
        <f>'Stage 3'!H8:I8</f>
        <v xml:space="preserve"> MCEVOY</v>
      </c>
      <c r="I8" s="360"/>
      <c r="J8" s="359" t="str">
        <f>'Stage 4'!J8:K8</f>
        <v>GREHAN</v>
      </c>
      <c r="K8" s="360"/>
      <c r="L8" s="359" t="str">
        <f>'Stage 5'!L8:M8</f>
        <v>GIVAN</v>
      </c>
      <c r="M8" s="360"/>
      <c r="N8" s="359" t="str">
        <f>'Stage 6'!N8:O8</f>
        <v>FRENCH</v>
      </c>
      <c r="O8" s="360"/>
      <c r="P8" s="359" t="str">
        <f>'Stage 7'!P8:Q8</f>
        <v>FLYNN</v>
      </c>
      <c r="Q8" s="360"/>
      <c r="R8" s="359" t="str">
        <f>'Stage 8'!R8:S8</f>
        <v>KENNEDY</v>
      </c>
      <c r="S8" s="360"/>
      <c r="T8" s="359" t="str">
        <f>IF($T7="Transfer",$BA8,$BT3)</f>
        <v>PALMER</v>
      </c>
      <c r="U8" s="360"/>
      <c r="V8" s="303"/>
      <c r="W8" s="304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GIVAN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EWING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115" t="s">
        <v>112</v>
      </c>
      <c r="W9" s="116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Exclude lowest candidate(s)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 t="str">
        <f t="shared" ref="BN9:BN27" si="11">IF(A12&lt;&gt;0,A12,0)</f>
        <v>Excluded</v>
      </c>
      <c r="BO9" s="7">
        <f t="shared" si="3"/>
        <v>0</v>
      </c>
      <c r="BP9" s="66"/>
      <c r="BR9" s="9" t="str">
        <f>'Verification of Boxes'!J11</f>
        <v>FLYNN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113</v>
      </c>
      <c r="B10" s="18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KENNEDY</v>
      </c>
      <c r="BF10" s="64"/>
      <c r="BG10" s="100">
        <f t="shared" si="0"/>
        <v>0</v>
      </c>
      <c r="BH10" s="150"/>
      <c r="BI10" s="5" t="str">
        <f t="shared" si="1"/>
        <v>Elected</v>
      </c>
      <c r="BJ10" s="5">
        <f t="shared" si="2"/>
        <v>0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FRENCH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8'!A11&lt;&gt;0,'Stage 8'!A11,IF(U11&gt;=$M$3,"Elected",IF(BP8&lt;&gt;0,"Excluded",0)))</f>
        <v>Elected</v>
      </c>
      <c r="B11" s="235">
        <f>'Stage 8'!B11</f>
        <v>1</v>
      </c>
      <c r="C11" s="30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>'Stage 3'!H11</f>
        <v>0</v>
      </c>
      <c r="I11" s="135">
        <f>'Stage 3'!I11</f>
        <v>1071</v>
      </c>
      <c r="J11" s="71">
        <f>'Stage 4'!J11</f>
        <v>0</v>
      </c>
      <c r="K11" s="135">
        <f>'Stage 4'!K11</f>
        <v>1071</v>
      </c>
      <c r="L11" s="71">
        <f>'Stage 5'!L11</f>
        <v>0</v>
      </c>
      <c r="M11" s="135">
        <f>'Stage 5'!M11</f>
        <v>1071</v>
      </c>
      <c r="N11" s="71">
        <f>'Stage 6'!N11</f>
        <v>0</v>
      </c>
      <c r="O11" s="135">
        <f>'Stage 6'!O11</f>
        <v>1071</v>
      </c>
      <c r="P11" s="71">
        <f>'Stage 7'!P11</f>
        <v>0</v>
      </c>
      <c r="Q11" s="135">
        <f>'Stage 7'!Q11</f>
        <v>1071</v>
      </c>
      <c r="R11" s="71">
        <f>'Stage 8'!R11</f>
        <v>0</v>
      </c>
      <c r="S11" s="135">
        <f>'Stage 8'!S11</f>
        <v>1071</v>
      </c>
      <c r="T11" s="71">
        <f t="shared" ref="T11:T30" si="12">IF($C11&lt;&gt;0,$BK49,0)</f>
        <v>0</v>
      </c>
      <c r="U11" s="27">
        <f t="shared" ref="U11:U31" si="13">IF(T$8=0,0,S11+T11)</f>
        <v>1071</v>
      </c>
      <c r="V11" s="69"/>
      <c r="W11" s="39">
        <f t="shared" ref="W11:W31" si="14">IF(V$8=0,0,U11+V11)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8'!A12&lt;&gt;0,'Stage 8'!A12,IF(U12&gt;=$M$3,"Elected",IF(BP9&lt;&gt;0,"Excluded",0)))</f>
        <v>Excluded</v>
      </c>
      <c r="B12" s="235">
        <f>'Stage 8'!B12</f>
        <v>0</v>
      </c>
      <c r="C12" s="31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>'Stage 3'!H12</f>
        <v>1</v>
      </c>
      <c r="I12" s="135">
        <f>'Stage 3'!I12</f>
        <v>494.42</v>
      </c>
      <c r="J12" s="71">
        <f>'Stage 4'!J12</f>
        <v>0.48</v>
      </c>
      <c r="K12" s="135">
        <f>'Stage 4'!K12</f>
        <v>494.90000000000003</v>
      </c>
      <c r="L12" s="71">
        <f>'Stage 5'!L12</f>
        <v>0.04</v>
      </c>
      <c r="M12" s="135">
        <f>'Stage 5'!M12</f>
        <v>494.94000000000005</v>
      </c>
      <c r="N12" s="71">
        <f>'Stage 6'!N12</f>
        <v>176.15</v>
      </c>
      <c r="O12" s="135">
        <f>'Stage 6'!O12</f>
        <v>671.09</v>
      </c>
      <c r="P12" s="71">
        <f>'Stage 7'!P12</f>
        <v>-671.09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 t="shared" si="12"/>
        <v>0</v>
      </c>
      <c r="U12" s="27">
        <f t="shared" si="13"/>
        <v>0</v>
      </c>
      <c r="V12" s="69"/>
      <c r="W12" s="39">
        <f t="shared" si="14"/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MITCHELL</v>
      </c>
      <c r="BF12" s="64"/>
      <c r="BG12" s="100">
        <f t="shared" si="0"/>
        <v>0</v>
      </c>
      <c r="BH12" s="150"/>
      <c r="BI12" s="5">
        <f t="shared" si="1"/>
        <v>0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8'!A13&lt;&gt;0,'Stage 8'!A13,IF(U13&gt;=$M$3,"Elected",IF(BP10&lt;&gt;0,"Excluded",0)))</f>
        <v>Excluded</v>
      </c>
      <c r="B13" s="235">
        <f>'Stage 8'!B13</f>
        <v>0</v>
      </c>
      <c r="C13" s="31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>'Stage 3'!H13</f>
        <v>4</v>
      </c>
      <c r="I13" s="135">
        <f>'Stage 3'!I13</f>
        <v>476.42</v>
      </c>
      <c r="J13" s="71">
        <f>'Stage 4'!J13</f>
        <v>0.89999999999999991</v>
      </c>
      <c r="K13" s="135">
        <f>'Stage 4'!K13</f>
        <v>477.32</v>
      </c>
      <c r="L13" s="71">
        <f>'Stage 5'!L13</f>
        <v>0.02</v>
      </c>
      <c r="M13" s="135">
        <f>'Stage 5'!M13</f>
        <v>477.34</v>
      </c>
      <c r="N13" s="71">
        <f>'Stage 6'!N13</f>
        <v>-477.34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 t="shared" si="12"/>
        <v>0</v>
      </c>
      <c r="U13" s="27">
        <f t="shared" si="13"/>
        <v>0</v>
      </c>
      <c r="V13" s="69"/>
      <c r="W13" s="39">
        <f t="shared" si="14"/>
        <v>0</v>
      </c>
      <c r="Z13" s="15" t="s">
        <v>115</v>
      </c>
      <c r="AA13" s="124" t="s">
        <v>168</v>
      </c>
      <c r="AB13" s="16"/>
      <c r="AC13" s="16" t="s">
        <v>169</v>
      </c>
      <c r="AD13" s="18"/>
      <c r="AE13" s="16" t="s">
        <v>170</v>
      </c>
      <c r="AF13" s="18" t="s">
        <v>171</v>
      </c>
      <c r="AG13" s="14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/>
      <c r="BE13" s="61" t="str">
        <f>'Verification of Boxes'!J18</f>
        <v>PALMER</v>
      </c>
      <c r="BF13" s="64"/>
      <c r="BG13" s="100">
        <f t="shared" si="0"/>
        <v>0</v>
      </c>
      <c r="BH13" s="150"/>
      <c r="BI13" s="5" t="str">
        <f t="shared" si="1"/>
        <v>Excluded</v>
      </c>
      <c r="BJ13" s="5">
        <f t="shared" si="2"/>
        <v>0</v>
      </c>
      <c r="BM13" s="3"/>
      <c r="BN13" s="5" t="str">
        <f t="shared" si="11"/>
        <v>Elected</v>
      </c>
      <c r="BO13" s="7" t="str">
        <f t="shared" si="3"/>
        <v>Elected</v>
      </c>
      <c r="BP13" s="66"/>
      <c r="BR13" s="9" t="str">
        <f>'Verification of Boxes'!J15</f>
        <v>KENNEDY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8'!A14&lt;&gt;0,'Stage 8'!A14,IF(U14&gt;=$M$3,"Elected",IF(BP11&lt;&gt;0,"Excluded",0)))</f>
        <v>Elected</v>
      </c>
      <c r="B14" s="235">
        <f>'Stage 8'!B14</f>
        <v>3</v>
      </c>
      <c r="C14" s="31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>'Stage 3'!H14</f>
        <v>0</v>
      </c>
      <c r="I14" s="135">
        <f>'Stage 3'!I14</f>
        <v>1089.5999999999999</v>
      </c>
      <c r="J14" s="71">
        <f>'Stage 4'!J14</f>
        <v>0</v>
      </c>
      <c r="K14" s="135">
        <f>'Stage 4'!K14</f>
        <v>1089.5999999999999</v>
      </c>
      <c r="L14" s="71">
        <f>'Stage 5'!L14</f>
        <v>-18.599999999999909</v>
      </c>
      <c r="M14" s="135">
        <f>'Stage 5'!M14</f>
        <v>1071</v>
      </c>
      <c r="N14" s="71">
        <f>'Stage 6'!N14</f>
        <v>0</v>
      </c>
      <c r="O14" s="135">
        <f>'Stage 6'!O14</f>
        <v>1071</v>
      </c>
      <c r="P14" s="71">
        <f>'Stage 7'!P14</f>
        <v>0</v>
      </c>
      <c r="Q14" s="135">
        <f>'Stage 7'!Q14</f>
        <v>1071</v>
      </c>
      <c r="R14" s="71">
        <f>'Stage 8'!R14</f>
        <v>0</v>
      </c>
      <c r="S14" s="135">
        <f>'Stage 8'!S14</f>
        <v>1071</v>
      </c>
      <c r="T14" s="71">
        <f t="shared" si="12"/>
        <v>0</v>
      </c>
      <c r="U14" s="27">
        <f t="shared" si="13"/>
        <v>1071</v>
      </c>
      <c r="V14" s="69"/>
      <c r="W14" s="39">
        <f t="shared" si="14"/>
        <v>0</v>
      </c>
      <c r="Z14" s="92" t="str">
        <f>'Verification of Boxes'!J10</f>
        <v>EWING</v>
      </c>
      <c r="AA14" s="93">
        <f>S11</f>
        <v>1071</v>
      </c>
      <c r="AB14" s="88"/>
      <c r="AC14" s="99">
        <f t="shared" ref="AC14:AC33" si="15">IF(AA14&gt;0,AA14-AG$4,0)</f>
        <v>0</v>
      </c>
      <c r="AD14" s="123"/>
      <c r="AE14" s="88" t="str">
        <f>IF(Z14=0,0,IF(AA14&gt;=AG$4,"elected",IF(AA14=0,"excluded","continuing")))</f>
        <v>elected</v>
      </c>
      <c r="AF14" s="88">
        <f t="shared" ref="AF14:AF33" si="16">IF(AE14="elected",AC14,0)</f>
        <v>0</v>
      </c>
      <c r="AG14" s="94">
        <f t="shared" ref="AG14:AG33" si="17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/>
      <c r="BE14" s="61" t="str">
        <f>'Verification of Boxes'!J19</f>
        <v>PORTER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8'!A15&lt;&gt;0,'Stage 8'!A15,IF(U15&gt;=$M$3,"Elected",IF(BP12&lt;&gt;0,"Excluded",0)))</f>
        <v>Elected</v>
      </c>
      <c r="B15" s="235">
        <f>'Stage 8'!B15</f>
        <v>2</v>
      </c>
      <c r="C15" s="31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>'Stage 3'!H15</f>
        <v>0</v>
      </c>
      <c r="I15" s="135">
        <f>'Stage 3'!I15</f>
        <v>1111</v>
      </c>
      <c r="J15" s="71">
        <f>'Stage 4'!J15</f>
        <v>-40</v>
      </c>
      <c r="K15" s="135">
        <f>'Stage 4'!K15</f>
        <v>1071</v>
      </c>
      <c r="L15" s="71">
        <f>'Stage 5'!L15</f>
        <v>0</v>
      </c>
      <c r="M15" s="135">
        <f>'Stage 5'!M15</f>
        <v>1071</v>
      </c>
      <c r="N15" s="71">
        <f>'Stage 6'!N15</f>
        <v>0</v>
      </c>
      <c r="O15" s="135">
        <f>'Stage 6'!O15</f>
        <v>1071</v>
      </c>
      <c r="P15" s="71">
        <f>'Stage 7'!P15</f>
        <v>0</v>
      </c>
      <c r="Q15" s="135">
        <f>'Stage 7'!Q15</f>
        <v>1071</v>
      </c>
      <c r="R15" s="71">
        <f>'Stage 8'!R15</f>
        <v>0</v>
      </c>
      <c r="S15" s="135">
        <f>'Stage 8'!S15</f>
        <v>1071</v>
      </c>
      <c r="T15" s="71">
        <f t="shared" si="12"/>
        <v>0</v>
      </c>
      <c r="U15" s="27">
        <f t="shared" si="13"/>
        <v>1071</v>
      </c>
      <c r="V15" s="69"/>
      <c r="W15" s="39">
        <f t="shared" si="14"/>
        <v>0</v>
      </c>
      <c r="Z15" s="95" t="str">
        <f>'Verification of Boxes'!J11</f>
        <v>FLYNN</v>
      </c>
      <c r="AA15" s="37">
        <f>S12</f>
        <v>0</v>
      </c>
      <c r="AB15" s="5"/>
      <c r="AC15" s="100">
        <f t="shared" si="15"/>
        <v>0</v>
      </c>
      <c r="AD15" s="110"/>
      <c r="AE15" s="5" t="str">
        <f t="shared" ref="AE15:AE33" si="18">IF(Z15=0,0,IF(AA15&gt;=AG$4,"elected",IF(AA15=0,"excluded","continuing")))</f>
        <v>excluded</v>
      </c>
      <c r="AF15" s="5">
        <f t="shared" si="16"/>
        <v>0</v>
      </c>
      <c r="AG15" s="96">
        <f t="shared" si="17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1065.29</v>
      </c>
      <c r="BP15" s="66"/>
      <c r="BR15" s="9" t="str">
        <f>'Verification of Boxes'!J17</f>
        <v>MITCHELL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>IF('Stage 8'!A16&lt;&gt;0,'Stage 8'!A16,IF(U16&gt;=$M$3,"Elected",IF(BP13&lt;&gt;0,"Excluded",0)))</f>
        <v>Elected</v>
      </c>
      <c r="B16" s="235">
        <f>'Stage 8'!B16</f>
        <v>4</v>
      </c>
      <c r="C16" s="31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>'Stage 3'!H16</f>
        <v>3.06</v>
      </c>
      <c r="I16" s="135">
        <f>'Stage 3'!I16</f>
        <v>677.3</v>
      </c>
      <c r="J16" s="71">
        <f>'Stage 4'!J16</f>
        <v>30.029999999999998</v>
      </c>
      <c r="K16" s="135">
        <f>'Stage 4'!K16</f>
        <v>707.32999999999993</v>
      </c>
      <c r="L16" s="71">
        <f>'Stage 5'!L16</f>
        <v>0.22</v>
      </c>
      <c r="M16" s="135">
        <f>'Stage 5'!M16</f>
        <v>707.55</v>
      </c>
      <c r="N16" s="71">
        <f>'Stage 6'!N16</f>
        <v>241.72</v>
      </c>
      <c r="O16" s="135">
        <f>'Stage 6'!O16</f>
        <v>949.27</v>
      </c>
      <c r="P16" s="71">
        <f>'Stage 7'!P16</f>
        <v>375</v>
      </c>
      <c r="Q16" s="135">
        <f>'Stage 7'!Q16</f>
        <v>1324.27</v>
      </c>
      <c r="R16" s="71">
        <f>'Stage 8'!R16</f>
        <v>-253.26999999999998</v>
      </c>
      <c r="S16" s="135">
        <f>'Stage 8'!S16</f>
        <v>1071</v>
      </c>
      <c r="T16" s="71">
        <f t="shared" si="12"/>
        <v>0</v>
      </c>
      <c r="U16" s="27">
        <f t="shared" si="13"/>
        <v>1071</v>
      </c>
      <c r="V16" s="69"/>
      <c r="W16" s="39">
        <f t="shared" si="14"/>
        <v>0</v>
      </c>
      <c r="Z16" s="95" t="str">
        <f>'Verification of Boxes'!J12</f>
        <v>FRENCH</v>
      </c>
      <c r="AA16" s="37">
        <f t="shared" ref="AA16:AA33" si="19">S13</f>
        <v>0</v>
      </c>
      <c r="AB16" s="5"/>
      <c r="AC16" s="100">
        <f t="shared" si="15"/>
        <v>0</v>
      </c>
      <c r="AD16" s="110"/>
      <c r="AE16" s="5" t="str">
        <f t="shared" si="18"/>
        <v>excluded</v>
      </c>
      <c r="AF16" s="5">
        <f t="shared" si="16"/>
        <v>0</v>
      </c>
      <c r="AG16" s="96">
        <f t="shared" si="17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745.4799999999999</v>
      </c>
      <c r="BP16" s="66" t="s">
        <v>144</v>
      </c>
      <c r="BR16" s="9" t="str">
        <f>'Verification of Boxes'!J18</f>
        <v>PALMER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8'!A17&lt;&gt;0,'Stage 8'!A17,IF(U17&gt;=$M$3,"Elected",IF(BP14&lt;&gt;0,"Excluded",0)))</f>
        <v>Excluded</v>
      </c>
      <c r="B17" s="235">
        <f>'Stage 8'!B17</f>
        <v>0</v>
      </c>
      <c r="C17" s="31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>'Stage 3'!H17</f>
        <v>-388.44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 t="shared" si="12"/>
        <v>0</v>
      </c>
      <c r="U17" s="27">
        <f t="shared" si="13"/>
        <v>0</v>
      </c>
      <c r="V17" s="69"/>
      <c r="W17" s="39">
        <f t="shared" si="14"/>
        <v>0</v>
      </c>
      <c r="Z17" s="95" t="str">
        <f>'Verification of Boxes'!J13</f>
        <v>GIVAN</v>
      </c>
      <c r="AA17" s="37">
        <f t="shared" si="19"/>
        <v>1071</v>
      </c>
      <c r="AB17" s="5"/>
      <c r="AC17" s="100">
        <f t="shared" si="15"/>
        <v>0</v>
      </c>
      <c r="AD17" s="110"/>
      <c r="AE17" s="5" t="str">
        <f t="shared" si="18"/>
        <v>elected</v>
      </c>
      <c r="AF17" s="5">
        <f t="shared" si="16"/>
        <v>0</v>
      </c>
      <c r="AG17" s="96">
        <f t="shared" si="17"/>
        <v>0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937.23</v>
      </c>
      <c r="BP17" s="66"/>
      <c r="BR17" s="9" t="str">
        <f>'Verification of Boxes'!J19</f>
        <v>PORTER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>IF('Stage 8'!A18&lt;&gt;0,'Stage 8'!A18,IF(U18&gt;=$M$3,"Elected",IF(BP15&lt;&gt;0,"Excluded",0)))</f>
        <v>0</v>
      </c>
      <c r="B18" s="235">
        <f>'Stage 8'!B18</f>
        <v>5</v>
      </c>
      <c r="C18" s="31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>'Stage 3'!H18</f>
        <v>91.42</v>
      </c>
      <c r="I18" s="135">
        <f>'Stage 3'!I18</f>
        <v>962.86</v>
      </c>
      <c r="J18" s="71">
        <f>'Stage 4'!J18</f>
        <v>0.72</v>
      </c>
      <c r="K18" s="135">
        <f>'Stage 4'!K18</f>
        <v>963.58</v>
      </c>
      <c r="L18" s="71">
        <f>'Stage 5'!L18</f>
        <v>1.54</v>
      </c>
      <c r="M18" s="135">
        <f>'Stage 5'!M18</f>
        <v>965.12</v>
      </c>
      <c r="N18" s="71">
        <f>'Stage 6'!N18</f>
        <v>6</v>
      </c>
      <c r="O18" s="135">
        <f>'Stage 6'!O18</f>
        <v>971.12</v>
      </c>
      <c r="P18" s="71">
        <f>'Stage 7'!P18</f>
        <v>36.170000000000009</v>
      </c>
      <c r="Q18" s="135">
        <f>'Stage 7'!Q18</f>
        <v>1007.29</v>
      </c>
      <c r="R18" s="71">
        <f>'Stage 8'!R18</f>
        <v>58</v>
      </c>
      <c r="S18" s="135">
        <f>'Stage 8'!S18</f>
        <v>1065.29</v>
      </c>
      <c r="T18" s="71">
        <f t="shared" si="12"/>
        <v>0</v>
      </c>
      <c r="U18" s="27">
        <f t="shared" si="13"/>
        <v>1065.29</v>
      </c>
      <c r="V18" s="69"/>
      <c r="W18" s="39">
        <f t="shared" si="14"/>
        <v>0</v>
      </c>
      <c r="Z18" s="95" t="str">
        <f>'Verification of Boxes'!J14</f>
        <v>GREHAN</v>
      </c>
      <c r="AA18" s="37">
        <f t="shared" si="19"/>
        <v>1071</v>
      </c>
      <c r="AB18" s="5"/>
      <c r="AC18" s="100">
        <f t="shared" si="15"/>
        <v>0</v>
      </c>
      <c r="AD18" s="110"/>
      <c r="AE18" s="5" t="str">
        <f t="shared" si="18"/>
        <v>elected</v>
      </c>
      <c r="AF18" s="5">
        <f t="shared" si="16"/>
        <v>0</v>
      </c>
      <c r="AG18" s="96">
        <f t="shared" si="17"/>
        <v>0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8'!A19&lt;&gt;0,'Stage 8'!A19,IF(U19&gt;=$M$3,"Elected",IF(BP16&lt;&gt;0,"Excluded",0)))</f>
        <v>Excluded</v>
      </c>
      <c r="B19" s="235">
        <f>'Stage 8'!B19</f>
        <v>0</v>
      </c>
      <c r="C19" s="31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>'Stage 3'!H19</f>
        <v>64.48</v>
      </c>
      <c r="I19" s="135">
        <f>'Stage 3'!I19</f>
        <v>692.9</v>
      </c>
      <c r="J19" s="71">
        <f>'Stage 4'!J19</f>
        <v>0.69</v>
      </c>
      <c r="K19" s="135">
        <f>'Stage 4'!K19</f>
        <v>693.59</v>
      </c>
      <c r="L19" s="71">
        <f>'Stage 5'!L19</f>
        <v>0.68</v>
      </c>
      <c r="M19" s="135">
        <f>'Stage 5'!M19</f>
        <v>694.27</v>
      </c>
      <c r="N19" s="71">
        <f>'Stage 6'!N19</f>
        <v>12.15</v>
      </c>
      <c r="O19" s="135">
        <f>'Stage 6'!O19</f>
        <v>706.42</v>
      </c>
      <c r="P19" s="71">
        <f>'Stage 7'!P19</f>
        <v>21.06</v>
      </c>
      <c r="Q19" s="135">
        <f>'Stage 7'!Q19</f>
        <v>727.4799999999999</v>
      </c>
      <c r="R19" s="71">
        <f>'Stage 8'!R19</f>
        <v>18</v>
      </c>
      <c r="S19" s="135">
        <f>'Stage 8'!S19</f>
        <v>745.4799999999999</v>
      </c>
      <c r="T19" s="71">
        <f t="shared" si="12"/>
        <v>-745.4799999999999</v>
      </c>
      <c r="U19" s="27">
        <f t="shared" si="13"/>
        <v>0</v>
      </c>
      <c r="V19" s="69"/>
      <c r="W19" s="39">
        <f t="shared" si="14"/>
        <v>0</v>
      </c>
      <c r="Z19" s="95" t="str">
        <f>'Verification of Boxes'!J15</f>
        <v>KENNEDY</v>
      </c>
      <c r="AA19" s="37">
        <f t="shared" si="19"/>
        <v>1071</v>
      </c>
      <c r="AB19" s="5"/>
      <c r="AC19" s="100">
        <f t="shared" si="15"/>
        <v>0</v>
      </c>
      <c r="AD19" s="110"/>
      <c r="AE19" s="5" t="str">
        <f t="shared" si="18"/>
        <v>elected</v>
      </c>
      <c r="AF19" s="5">
        <f t="shared" si="16"/>
        <v>0</v>
      </c>
      <c r="AG19" s="96">
        <f t="shared" si="17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8'!A20&lt;&gt;0,'Stage 8'!A20,IF(U20&gt;=$M$3,"Elected",IF(BP17&lt;&gt;0,"Excluded",0)))</f>
        <v>0</v>
      </c>
      <c r="B20" s="235">
        <f>'Stage 8'!B20</f>
        <v>6</v>
      </c>
      <c r="C20" s="31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>'Stage 3'!H20</f>
        <v>204.42</v>
      </c>
      <c r="I20" s="135">
        <f>'Stage 3'!I20</f>
        <v>900.42</v>
      </c>
      <c r="J20" s="71">
        <f>'Stage 4'!J20</f>
        <v>0.39</v>
      </c>
      <c r="K20" s="135">
        <f>'Stage 4'!K20</f>
        <v>900.81</v>
      </c>
      <c r="L20" s="71">
        <f>'Stage 5'!L20</f>
        <v>14.34</v>
      </c>
      <c r="M20" s="135">
        <f>'Stage 5'!M20</f>
        <v>915.15</v>
      </c>
      <c r="N20" s="71">
        <f>'Stage 6'!N20</f>
        <v>6</v>
      </c>
      <c r="O20" s="135">
        <f>'Stage 6'!O20</f>
        <v>921.15</v>
      </c>
      <c r="P20" s="71">
        <f>'Stage 7'!P20</f>
        <v>10.08</v>
      </c>
      <c r="Q20" s="135">
        <f>'Stage 7'!Q20</f>
        <v>931.23</v>
      </c>
      <c r="R20" s="71">
        <f>'Stage 8'!R20</f>
        <v>6</v>
      </c>
      <c r="S20" s="135">
        <f>'Stage 8'!S20</f>
        <v>937.23</v>
      </c>
      <c r="T20" s="71">
        <f t="shared" si="12"/>
        <v>0</v>
      </c>
      <c r="U20" s="27">
        <f t="shared" si="13"/>
        <v>937.23</v>
      </c>
      <c r="V20" s="69"/>
      <c r="W20" s="39">
        <f t="shared" si="14"/>
        <v>0</v>
      </c>
      <c r="Z20" s="95" t="str">
        <f>'Verification of Boxes'!J16</f>
        <v>MCEVOY</v>
      </c>
      <c r="AA20" s="37">
        <f t="shared" si="19"/>
        <v>0</v>
      </c>
      <c r="AB20" s="5"/>
      <c r="AC20" s="100">
        <f t="shared" si="15"/>
        <v>0</v>
      </c>
      <c r="AD20" s="110"/>
      <c r="AE20" s="5" t="str">
        <f t="shared" si="18"/>
        <v>excluded</v>
      </c>
      <c r="AF20" s="5">
        <f t="shared" si="16"/>
        <v>0</v>
      </c>
      <c r="AG20" s="96">
        <f t="shared" si="17"/>
        <v>0</v>
      </c>
      <c r="AJ20" s="339" t="s">
        <v>184</v>
      </c>
      <c r="AK20" s="340"/>
      <c r="AL20" s="142">
        <f>AL46</f>
        <v>745.4799999999999</v>
      </c>
      <c r="AM20" s="118"/>
      <c r="AN20" s="142">
        <f>AL20+AG2</f>
        <v>745.4799999999999</v>
      </c>
      <c r="AO20" s="334" t="str">
        <f>IF(AN20&gt;AG4,0,IF(AN20&lt;AL21,"Exclude lowest candidate",0))</f>
        <v>Exclude lowest candidate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8'!A21&lt;&gt;0,'Stage 8'!A21,IF(U21&gt;=$M$3,"Elected",IF(BP18&lt;&gt;0,"Excluded",0)))</f>
        <v>0</v>
      </c>
      <c r="B21" s="235">
        <f>'Stage 8'!B21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 t="shared" si="12"/>
        <v>0</v>
      </c>
      <c r="U21" s="27">
        <f t="shared" si="13"/>
        <v>0</v>
      </c>
      <c r="V21" s="69"/>
      <c r="W21" s="39">
        <f t="shared" si="14"/>
        <v>0</v>
      </c>
      <c r="Z21" s="95" t="str">
        <f>'Verification of Boxes'!J17</f>
        <v>MITCHELL</v>
      </c>
      <c r="AA21" s="37">
        <f t="shared" si="19"/>
        <v>1065.29</v>
      </c>
      <c r="AB21" s="5"/>
      <c r="AC21" s="100">
        <f t="shared" si="15"/>
        <v>-5.7100000000000364</v>
      </c>
      <c r="AD21" s="110"/>
      <c r="AE21" s="5" t="str">
        <f t="shared" si="18"/>
        <v>continuing</v>
      </c>
      <c r="AF21" s="5">
        <f t="shared" si="16"/>
        <v>0</v>
      </c>
      <c r="AG21" s="96">
        <f t="shared" si="17"/>
        <v>0</v>
      </c>
      <c r="AJ21" s="341" t="s">
        <v>185</v>
      </c>
      <c r="AK21" s="293"/>
      <c r="AL21" s="37">
        <f>IF(AL20=1000000,0,AN46)</f>
        <v>937.23</v>
      </c>
      <c r="AM21" s="5">
        <f>AL21-AL20</f>
        <v>191.75000000000011</v>
      </c>
      <c r="AN21" s="5">
        <f>IF(AL21=1000000,0,IF(AN20=0,0,AN20+AL21))</f>
        <v>1682.71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8'!A22&lt;&gt;0,'Stage 8'!A22,IF(U22&gt;=$M$3,"Elected",IF(BP19&lt;&gt;0,"Excluded",0)))</f>
        <v>0</v>
      </c>
      <c r="B22" s="235">
        <f>'Stage 8'!B22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 t="shared" si="12"/>
        <v>0</v>
      </c>
      <c r="U22" s="27">
        <f t="shared" si="13"/>
        <v>0</v>
      </c>
      <c r="V22" s="69"/>
      <c r="W22" s="39">
        <f t="shared" si="14"/>
        <v>0</v>
      </c>
      <c r="Z22" s="95" t="str">
        <f>'Verification of Boxes'!J18</f>
        <v>PALMER</v>
      </c>
      <c r="AA22" s="37">
        <f t="shared" si="19"/>
        <v>745.4799999999999</v>
      </c>
      <c r="AB22" s="5"/>
      <c r="AC22" s="100">
        <f t="shared" si="15"/>
        <v>-325.5200000000001</v>
      </c>
      <c r="AD22" s="110"/>
      <c r="AE22" s="5" t="str">
        <f t="shared" si="18"/>
        <v>continuing</v>
      </c>
      <c r="AF22" s="5">
        <f t="shared" si="16"/>
        <v>0</v>
      </c>
      <c r="AG22" s="96">
        <f t="shared" si="17"/>
        <v>0</v>
      </c>
      <c r="AJ22" s="341" t="s">
        <v>185</v>
      </c>
      <c r="AK22" s="293"/>
      <c r="AL22" s="37">
        <f>IF(AL21=1000000,0,AP46)</f>
        <v>1065.29</v>
      </c>
      <c r="AM22" s="5">
        <f>IF(AL22=1000000,0,IF(AM21=0,0,AL22-AL21))</f>
        <v>128.05999999999995</v>
      </c>
      <c r="AN22" s="5">
        <f>IF(AL22=1000000,0,IF(AN21=0,0,AN21+AL22))</f>
        <v>2748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8'!A23&lt;&gt;0,'Stage 8'!A23,IF(U23&gt;=$M$3,"Elected",IF(BP20&lt;&gt;0,"Excluded",0)))</f>
        <v>0</v>
      </c>
      <c r="B23" s="235">
        <f>'Stage 8'!B23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 t="shared" si="12"/>
        <v>0</v>
      </c>
      <c r="U23" s="27">
        <f t="shared" si="13"/>
        <v>0</v>
      </c>
      <c r="V23" s="69"/>
      <c r="W23" s="39">
        <f t="shared" si="14"/>
        <v>0</v>
      </c>
      <c r="Z23" s="95" t="str">
        <f>'Verification of Boxes'!J19</f>
        <v>PORTER</v>
      </c>
      <c r="AA23" s="37">
        <f t="shared" si="19"/>
        <v>937.23</v>
      </c>
      <c r="AB23" s="5"/>
      <c r="AC23" s="100">
        <f t="shared" si="15"/>
        <v>-133.76999999999998</v>
      </c>
      <c r="AD23" s="110"/>
      <c r="AE23" s="5" t="str">
        <f t="shared" si="18"/>
        <v>continuing</v>
      </c>
      <c r="AF23" s="5">
        <f t="shared" si="16"/>
        <v>0</v>
      </c>
      <c r="AG23" s="96">
        <f t="shared" si="17"/>
        <v>0</v>
      </c>
      <c r="AJ23" s="341" t="s">
        <v>185</v>
      </c>
      <c r="AK23" s="293"/>
      <c r="AL23" s="37">
        <f>IF(AL22=1000000,0,AR46)</f>
        <v>1071</v>
      </c>
      <c r="AM23" s="5">
        <f>IF(AL23=1000000,0,IF(AM22=0,0,AL23-AL22))</f>
        <v>5.7100000000000364</v>
      </c>
      <c r="AN23" s="5">
        <f>IF(AL23=1000000,0,IF(AN22=0,0,AN22+AL23))</f>
        <v>3819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8'!A24&lt;&gt;0,'Stage 8'!A24,IF(U24&gt;=$M$3,"Elected",IF(BP21&lt;&gt;0,"Excluded",0)))</f>
        <v>0</v>
      </c>
      <c r="B24" s="235">
        <f>'Stage 8'!B24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 t="shared" si="12"/>
        <v>0</v>
      </c>
      <c r="U24" s="27">
        <f t="shared" si="13"/>
        <v>0</v>
      </c>
      <c r="V24" s="69"/>
      <c r="W24" s="39">
        <f t="shared" si="14"/>
        <v>0</v>
      </c>
      <c r="Z24" s="95">
        <f>'Verification of Boxes'!J20</f>
        <v>0</v>
      </c>
      <c r="AA24" s="37">
        <f t="shared" si="19"/>
        <v>0</v>
      </c>
      <c r="AB24" s="5"/>
      <c r="AC24" s="100">
        <f t="shared" si="15"/>
        <v>0</v>
      </c>
      <c r="AD24" s="110"/>
      <c r="AE24" s="5">
        <f t="shared" si="18"/>
        <v>0</v>
      </c>
      <c r="AF24" s="5">
        <f t="shared" si="16"/>
        <v>0</v>
      </c>
      <c r="AG24" s="96">
        <f t="shared" si="17"/>
        <v>0</v>
      </c>
      <c r="AJ24" s="341" t="s">
        <v>185</v>
      </c>
      <c r="AK24" s="293"/>
      <c r="AL24" s="37">
        <f>IF(AR46=1000000,0,AU46)</f>
        <v>1000000</v>
      </c>
      <c r="AM24" s="5">
        <f>IF(AL24=1000000,0,IF(AM23=0,0,AL24-AL23))</f>
        <v>0</v>
      </c>
      <c r="AN24" s="5">
        <f>IF(AL24=1000000,0,IF(AN23=0,0,AN23+AL24))</f>
        <v>0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9"/>
      <c r="AU24" s="174"/>
      <c r="AV24" s="174"/>
      <c r="AW24" s="130"/>
      <c r="AZ24" t="s">
        <v>189</v>
      </c>
      <c r="BA24" s="3" t="s">
        <v>190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8'!A25&lt;&gt;0,'Stage 8'!A25,IF(U25&gt;=$M$3,"Elected",IF(BP22&lt;&gt;0,"Excluded",0)))</f>
        <v>0</v>
      </c>
      <c r="B25" s="235">
        <f>'Stage 8'!B25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 t="shared" si="12"/>
        <v>0</v>
      </c>
      <c r="U25" s="27">
        <f t="shared" si="13"/>
        <v>0</v>
      </c>
      <c r="V25" s="69"/>
      <c r="W25" s="39">
        <f t="shared" si="14"/>
        <v>0</v>
      </c>
      <c r="Z25" s="95">
        <f>'Verification of Boxes'!J21</f>
        <v>0</v>
      </c>
      <c r="AA25" s="37">
        <f t="shared" si="19"/>
        <v>0</v>
      </c>
      <c r="AB25" s="5"/>
      <c r="AC25" s="100">
        <f t="shared" si="15"/>
        <v>0</v>
      </c>
      <c r="AD25" s="110"/>
      <c r="AE25" s="5">
        <f t="shared" si="18"/>
        <v>0</v>
      </c>
      <c r="AF25" s="5">
        <f t="shared" si="16"/>
        <v>0</v>
      </c>
      <c r="AG25" s="96">
        <f t="shared" si="17"/>
        <v>0</v>
      </c>
      <c r="AJ25" s="355" t="s">
        <v>185</v>
      </c>
      <c r="AK25" s="356"/>
      <c r="AL25" s="89">
        <f>IF(AL24=1000000,0,AW46)</f>
        <v>0</v>
      </c>
      <c r="AM25" s="90">
        <f>IF(AL25=1000000,0,IF(AM24=0,0,AL25-AL24))</f>
        <v>0</v>
      </c>
      <c r="AN25" s="90">
        <f>IF(AL25=1000000,0,IF(AN24=0,0,AN24+AL25))</f>
        <v>0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74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0</v>
      </c>
      <c r="BE25" s="61" t="s">
        <v>193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8'!A26&lt;&gt;0,'Stage 8'!A26,IF(U26&gt;=$M$3,"Elected",IF(BP23&lt;&gt;0,"Excluded",0)))</f>
        <v>0</v>
      </c>
      <c r="B26" s="235">
        <f>'Stage 8'!B26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 t="shared" si="12"/>
        <v>0</v>
      </c>
      <c r="U26" s="27">
        <f t="shared" si="13"/>
        <v>0</v>
      </c>
      <c r="V26" s="69"/>
      <c r="W26" s="39">
        <f t="shared" si="14"/>
        <v>0</v>
      </c>
      <c r="Z26" s="95">
        <f>'Verification of Boxes'!J22</f>
        <v>0</v>
      </c>
      <c r="AA26" s="37">
        <f t="shared" si="19"/>
        <v>0</v>
      </c>
      <c r="AB26" s="5"/>
      <c r="AC26" s="100">
        <f t="shared" si="15"/>
        <v>0</v>
      </c>
      <c r="AD26" s="110"/>
      <c r="AE26" s="5">
        <f t="shared" si="18"/>
        <v>0</v>
      </c>
      <c r="AF26" s="5">
        <f t="shared" si="16"/>
        <v>0</v>
      </c>
      <c r="AG26" s="96">
        <f t="shared" si="17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194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8'!A27&lt;&gt;0,'Stage 8'!A27,IF(U27&gt;=$M$3,"Elected",IF(BP24&lt;&gt;0,"Excluded",0)))</f>
        <v>0</v>
      </c>
      <c r="B27" s="235">
        <f>'Stage 8'!B27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 t="shared" si="12"/>
        <v>0</v>
      </c>
      <c r="U27" s="27">
        <f t="shared" si="13"/>
        <v>0</v>
      </c>
      <c r="V27" s="69"/>
      <c r="W27" s="39">
        <f t="shared" si="14"/>
        <v>0</v>
      </c>
      <c r="Z27" s="95">
        <f>'Verification of Boxes'!J23</f>
        <v>0</v>
      </c>
      <c r="AA27" s="37">
        <f t="shared" si="19"/>
        <v>0</v>
      </c>
      <c r="AB27" s="5"/>
      <c r="AC27" s="100">
        <f t="shared" si="15"/>
        <v>0</v>
      </c>
      <c r="AD27" s="110"/>
      <c r="AE27" s="5">
        <f t="shared" si="18"/>
        <v>0</v>
      </c>
      <c r="AF27" s="5">
        <f t="shared" si="16"/>
        <v>0</v>
      </c>
      <c r="AG27" s="96">
        <f t="shared" si="17"/>
        <v>0</v>
      </c>
      <c r="AJ27" s="98"/>
      <c r="AK27" s="98"/>
      <c r="AT27" s="5">
        <f>AW27</f>
        <v>0</v>
      </c>
      <c r="AU27" s="5">
        <f t="shared" ref="AU27:AU32" si="20">IF(AO20&lt;&gt;0,1,0)</f>
        <v>1</v>
      </c>
      <c r="AV27" s="5">
        <f>AU27</f>
        <v>1</v>
      </c>
      <c r="AW27" s="5">
        <f t="shared" ref="AW27:AW32" si="21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8'!A28&lt;&gt;0,'Stage 8'!A28,IF(U28&gt;=$M$3,"Elected",IF(BP25&lt;&gt;0,"Excluded",0)))</f>
        <v>0</v>
      </c>
      <c r="B28" s="235">
        <f>'Stage 8'!B28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 t="shared" si="12"/>
        <v>0</v>
      </c>
      <c r="U28" s="27">
        <f t="shared" si="13"/>
        <v>0</v>
      </c>
      <c r="V28" s="69"/>
      <c r="W28" s="39">
        <f t="shared" si="14"/>
        <v>0</v>
      </c>
      <c r="Z28" s="95">
        <f>'Verification of Boxes'!J24</f>
        <v>0</v>
      </c>
      <c r="AA28" s="37">
        <f t="shared" si="19"/>
        <v>0</v>
      </c>
      <c r="AB28" s="5"/>
      <c r="AC28" s="100">
        <f t="shared" si="15"/>
        <v>0</v>
      </c>
      <c r="AD28" s="110"/>
      <c r="AE28" s="5">
        <f t="shared" si="18"/>
        <v>0</v>
      </c>
      <c r="AF28" s="5">
        <f t="shared" si="16"/>
        <v>0</v>
      </c>
      <c r="AG28" s="96">
        <f t="shared" si="17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0</v>
      </c>
      <c r="AU28" s="5">
        <f t="shared" si="20"/>
        <v>0</v>
      </c>
      <c r="AV28" s="5">
        <f>AV27+AU28</f>
        <v>1</v>
      </c>
      <c r="AW28" s="5">
        <f t="shared" si="21"/>
        <v>0</v>
      </c>
      <c r="BA28" s="3"/>
      <c r="BB28" s="3"/>
      <c r="BC28" s="2"/>
      <c r="BR28" s="19" t="s">
        <v>123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8'!A29&lt;&gt;0,'Stage 8'!A29,IF(U29&gt;=$M$3,"Elected",IF(BP26&lt;&gt;0,"Excluded",0)))</f>
        <v>0</v>
      </c>
      <c r="B29" s="235">
        <f>'Stage 8'!B29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 t="shared" si="12"/>
        <v>0</v>
      </c>
      <c r="U29" s="27">
        <f t="shared" si="13"/>
        <v>0</v>
      </c>
      <c r="V29" s="69"/>
      <c r="W29" s="39">
        <f t="shared" si="14"/>
        <v>0</v>
      </c>
      <c r="Z29" s="95">
        <f>'Verification of Boxes'!J25</f>
        <v>0</v>
      </c>
      <c r="AA29" s="37">
        <f t="shared" si="19"/>
        <v>0</v>
      </c>
      <c r="AB29" s="5"/>
      <c r="AC29" s="100">
        <f t="shared" si="15"/>
        <v>0</v>
      </c>
      <c r="AD29" s="110"/>
      <c r="AE29" s="5">
        <f t="shared" si="18"/>
        <v>0</v>
      </c>
      <c r="AF29" s="5">
        <f t="shared" si="16"/>
        <v>0</v>
      </c>
      <c r="AG29" s="96">
        <f t="shared" si="17"/>
        <v>0</v>
      </c>
      <c r="AL29" s="330"/>
      <c r="AM29" s="331"/>
      <c r="AN29" s="331"/>
      <c r="AO29" s="331"/>
      <c r="AP29" s="331"/>
      <c r="AQ29" s="332"/>
      <c r="AT29" s="5">
        <f>AT28+AW29</f>
        <v>0</v>
      </c>
      <c r="AU29" s="5">
        <f t="shared" si="20"/>
        <v>0</v>
      </c>
      <c r="AV29" s="5">
        <f>AV28+AU29</f>
        <v>1</v>
      </c>
      <c r="AW29" s="5">
        <f t="shared" si="21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0</v>
      </c>
      <c r="BR29" s="5" t="s">
        <v>200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8'!A30&lt;&gt;0,'Stage 8'!A30,IF(U30&gt;=$M$3,"Elected",IF(BP27&lt;&gt;0,"Excluded",0)))</f>
        <v>0</v>
      </c>
      <c r="B30" s="235">
        <f>'Stage 8'!B30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 t="shared" si="12"/>
        <v>0</v>
      </c>
      <c r="U30" s="27">
        <f t="shared" si="13"/>
        <v>0</v>
      </c>
      <c r="V30" s="69"/>
      <c r="W30" s="39">
        <f t="shared" si="14"/>
        <v>0</v>
      </c>
      <c r="Z30" s="95">
        <f>'Verification of Boxes'!J26</f>
        <v>0</v>
      </c>
      <c r="AA30" s="37">
        <f t="shared" si="19"/>
        <v>0</v>
      </c>
      <c r="AB30" s="5"/>
      <c r="AC30" s="100">
        <f t="shared" si="15"/>
        <v>0</v>
      </c>
      <c r="AD30" s="110"/>
      <c r="AE30" s="5">
        <f t="shared" si="18"/>
        <v>0</v>
      </c>
      <c r="AF30" s="5">
        <f t="shared" si="16"/>
        <v>0</v>
      </c>
      <c r="AG30" s="96">
        <f t="shared" si="17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0"/>
        <v>0</v>
      </c>
      <c r="AV30" s="5">
        <f>AV29+AU30</f>
        <v>1</v>
      </c>
      <c r="AW30" s="5">
        <f t="shared" si="21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264</v>
      </c>
      <c r="BJ30" s="328"/>
      <c r="BK30" s="329"/>
      <c r="BX30" s="333" t="str">
        <f>IF(BW31=BW69,"Calculations OK","Check Count for Error")</f>
        <v>Check Count for Error</v>
      </c>
      <c r="BY30" s="333"/>
    </row>
    <row r="31" spans="1:83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1">
        <f>'Stage 3'!H31</f>
        <v>20.059999999999999</v>
      </c>
      <c r="I31" s="135">
        <f>'Stage 3'!I31</f>
        <v>20.079999999999995</v>
      </c>
      <c r="J31" s="71">
        <f>'Stage 4'!J31</f>
        <v>6.7899999999999991</v>
      </c>
      <c r="K31" s="135">
        <f>'Stage 4'!K31</f>
        <v>26.869999999999994</v>
      </c>
      <c r="L31" s="71">
        <f>'Stage 5'!L31</f>
        <v>1.7599999999999092</v>
      </c>
      <c r="M31" s="135">
        <f>'Stage 5'!M31</f>
        <v>28.629999999999903</v>
      </c>
      <c r="N31" s="71">
        <f>'Stage 6'!N31</f>
        <v>35.320000000000007</v>
      </c>
      <c r="O31" s="135">
        <f>'Stage 6'!O31</f>
        <v>63.94999999999991</v>
      </c>
      <c r="P31" s="71">
        <f>'Stage 7'!P31</f>
        <v>228.78</v>
      </c>
      <c r="Q31" s="135">
        <f>'Stage 7'!Q31</f>
        <v>292.7299999999999</v>
      </c>
      <c r="R31" s="71">
        <f>'Stage 8'!R31</f>
        <v>171.26999999999998</v>
      </c>
      <c r="S31" s="135">
        <f>'Stage 8'!S31</f>
        <v>463.99999999999989</v>
      </c>
      <c r="T31" s="71">
        <f>$BK69</f>
        <v>0</v>
      </c>
      <c r="U31" s="40">
        <f t="shared" si="13"/>
        <v>463.99999999999989</v>
      </c>
      <c r="V31" s="70"/>
      <c r="W31" s="41">
        <f t="shared" si="14"/>
        <v>0</v>
      </c>
      <c r="Z31" s="95">
        <f>'Verification of Boxes'!J27</f>
        <v>0</v>
      </c>
      <c r="AA31" s="37">
        <f t="shared" si="19"/>
        <v>0</v>
      </c>
      <c r="AB31" s="5"/>
      <c r="AC31" s="100">
        <f t="shared" si="15"/>
        <v>0</v>
      </c>
      <c r="AD31" s="110"/>
      <c r="AE31" s="5">
        <f t="shared" si="18"/>
        <v>0</v>
      </c>
      <c r="AF31" s="5">
        <f t="shared" si="16"/>
        <v>0</v>
      </c>
      <c r="AG31" s="96">
        <f t="shared" si="17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0</v>
      </c>
      <c r="AU31" s="5">
        <f t="shared" si="20"/>
        <v>0</v>
      </c>
      <c r="AV31" s="5">
        <f>AV30+AU31</f>
        <v>1</v>
      </c>
      <c r="AW31" s="5">
        <f t="shared" si="21"/>
        <v>0</v>
      </c>
      <c r="AZ31" t="s">
        <v>203</v>
      </c>
      <c r="BA31" s="3" t="s">
        <v>204</v>
      </c>
      <c r="BB31" s="3"/>
      <c r="BC31" s="50" t="b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V31" t="s">
        <v>119</v>
      </c>
      <c r="BW31" s="5">
        <f>BT29+BV29+BX29+BZ29+CB29+CD29</f>
        <v>0</v>
      </c>
      <c r="BX31" s="311"/>
      <c r="BY31" s="311"/>
      <c r="BZ31" s="5">
        <f>BW69-BW31</f>
        <v>745.4799999999999</v>
      </c>
      <c r="CB31" s="327" t="s">
        <v>264</v>
      </c>
      <c r="CC31" s="328"/>
      <c r="CD31" s="328"/>
      <c r="CE31" s="32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1"/>
      <c r="I32" s="135">
        <f>'Stage 3'!I32</f>
        <v>7496</v>
      </c>
      <c r="J32" s="192"/>
      <c r="K32" s="135">
        <f>'Stage 4'!K32</f>
        <v>7495.9999999999991</v>
      </c>
      <c r="L32" s="192"/>
      <c r="M32" s="135">
        <f>'Stage 5'!M32</f>
        <v>7495.9999999999991</v>
      </c>
      <c r="N32" s="192"/>
      <c r="O32" s="135">
        <f>'Stage 6'!O32</f>
        <v>7496</v>
      </c>
      <c r="P32" s="192"/>
      <c r="Q32" s="135">
        <f>'Stage 7'!Q32</f>
        <v>7496</v>
      </c>
      <c r="R32" s="192"/>
      <c r="S32" s="135">
        <f>'Stage 8'!S32</f>
        <v>7496</v>
      </c>
      <c r="T32" s="192"/>
      <c r="U32" s="49">
        <f>SUM(U11:U31)</f>
        <v>6750.52</v>
      </c>
      <c r="V32" s="190"/>
      <c r="W32" s="50">
        <f>SUM(W11:W31)</f>
        <v>0</v>
      </c>
      <c r="Z32" s="95">
        <f>'Verification of Boxes'!J28</f>
        <v>0</v>
      </c>
      <c r="AA32" s="37">
        <f t="shared" si="19"/>
        <v>0</v>
      </c>
      <c r="AB32" s="5"/>
      <c r="AC32" s="100">
        <f t="shared" si="15"/>
        <v>0</v>
      </c>
      <c r="AD32" s="110"/>
      <c r="AE32" s="5">
        <f t="shared" si="18"/>
        <v>0</v>
      </c>
      <c r="AF32" s="5">
        <f t="shared" si="16"/>
        <v>0</v>
      </c>
      <c r="AG32" s="96">
        <f t="shared" si="17"/>
        <v>0</v>
      </c>
      <c r="AL32" s="330"/>
      <c r="AM32" s="331"/>
      <c r="AN32" s="331"/>
      <c r="AO32" s="331"/>
      <c r="AP32" s="331"/>
      <c r="AQ32" s="332"/>
      <c r="AT32" s="5">
        <f>AT31+AW32</f>
        <v>0</v>
      </c>
      <c r="AU32" s="5">
        <f t="shared" si="20"/>
        <v>0</v>
      </c>
      <c r="AV32" s="5">
        <f>AV31+AU32</f>
        <v>1</v>
      </c>
      <c r="AW32" s="5">
        <f t="shared" si="21"/>
        <v>0</v>
      </c>
      <c r="BF32" s="311"/>
      <c r="BG32" s="311"/>
      <c r="BX32" s="311"/>
      <c r="BY32" s="311"/>
      <c r="CB32" s="330"/>
      <c r="CC32" s="331"/>
      <c r="CD32" s="331"/>
      <c r="CE32" s="332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ERROR</v>
      </c>
      <c r="Z33" s="97">
        <f>'Verification of Boxes'!J29</f>
        <v>0</v>
      </c>
      <c r="AA33" s="89">
        <f t="shared" si="19"/>
        <v>0</v>
      </c>
      <c r="AB33" s="90"/>
      <c r="AC33" s="101">
        <f t="shared" si="15"/>
        <v>0</v>
      </c>
      <c r="AD33" s="147"/>
      <c r="AE33" s="90">
        <f t="shared" si="18"/>
        <v>0</v>
      </c>
      <c r="AF33" s="90">
        <f t="shared" si="16"/>
        <v>0</v>
      </c>
      <c r="AG33" s="148">
        <f t="shared" si="17"/>
        <v>0</v>
      </c>
    </row>
    <row r="34" spans="4:75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5">
        <f>'Stage 3'!I34</f>
        <v>0</v>
      </c>
      <c r="J34" s="219"/>
      <c r="K34" s="185">
        <f>'Stage 4'!K34</f>
        <v>0</v>
      </c>
      <c r="L34" s="219"/>
      <c r="M34" s="185">
        <f>'Stage 5'!M34</f>
        <v>0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0.77361111111111114</v>
      </c>
      <c r="T34" s="219"/>
      <c r="U34" s="183"/>
      <c r="V34" s="219"/>
      <c r="W34" s="220"/>
    </row>
    <row r="35" spans="4:75" x14ac:dyDescent="0.25">
      <c r="D35" s="25"/>
      <c r="E35" s="2"/>
      <c r="G35" s="2"/>
      <c r="I35" s="2"/>
      <c r="K35" s="2"/>
      <c r="M35" s="2"/>
      <c r="O35" s="2"/>
      <c r="Q35" s="2"/>
      <c r="S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  <c r="S36" s="2"/>
    </row>
    <row r="38" spans="4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2">AL39+AK40</f>
        <v>0</v>
      </c>
      <c r="AM40" s="5">
        <f t="shared" si="22"/>
        <v>0</v>
      </c>
      <c r="AN40" s="5">
        <f t="shared" si="22"/>
        <v>0</v>
      </c>
      <c r="AO40" s="5">
        <f t="shared" si="22"/>
        <v>0</v>
      </c>
      <c r="AP40" s="5">
        <f t="shared" si="22"/>
        <v>0</v>
      </c>
      <c r="AQ40" s="5">
        <f t="shared" si="22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3">IF(AK40=AL40,1,0)</f>
        <v>1</v>
      </c>
      <c r="AM41" s="5">
        <f t="shared" si="23"/>
        <v>1</v>
      </c>
      <c r="AN41" s="5">
        <f t="shared" si="23"/>
        <v>1</v>
      </c>
      <c r="AO41" s="5">
        <f t="shared" si="23"/>
        <v>1</v>
      </c>
      <c r="AP41" s="5">
        <f t="shared" si="23"/>
        <v>1</v>
      </c>
      <c r="AQ41" s="5">
        <f t="shared" si="23"/>
        <v>1</v>
      </c>
    </row>
    <row r="42" spans="4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24">IF(AM40=AL38,"add",0)</f>
        <v>0</v>
      </c>
      <c r="AM42" s="5">
        <f t="shared" si="24"/>
        <v>0</v>
      </c>
      <c r="AN42" s="5">
        <f t="shared" si="24"/>
        <v>0</v>
      </c>
      <c r="AO42" s="5">
        <f t="shared" si="24"/>
        <v>0</v>
      </c>
      <c r="AP42" s="5">
        <f t="shared" si="24"/>
        <v>0</v>
      </c>
      <c r="AQ42" s="5">
        <f t="shared" si="24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PALMER</v>
      </c>
      <c r="AA44" s="250">
        <v>745.4799999999999</v>
      </c>
      <c r="AB44" s="250">
        <v>745.4799999999999</v>
      </c>
      <c r="AC44" s="250">
        <f>AC43+AA44</f>
        <v>745.4799999999999</v>
      </c>
      <c r="AD44" s="250"/>
      <c r="AE44" s="252" t="str">
        <f>IF(AC44&gt;$AG$4,0,IF(AC44&lt;AA45,"Exclude this candidate",0))</f>
        <v>Exclude this candidate</v>
      </c>
      <c r="AF44" s="250"/>
      <c r="AG44" s="250"/>
    </row>
    <row r="45" spans="4:75" ht="18" customHeight="1" x14ac:dyDescent="0.35">
      <c r="Z45" s="253" t="str">
        <v>PORTER</v>
      </c>
      <c r="AA45" s="250">
        <v>937.23</v>
      </c>
      <c r="AB45" s="250">
        <v>937.23</v>
      </c>
      <c r="AC45" s="250">
        <f>AC44+AA45</f>
        <v>1682.71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4:75" x14ac:dyDescent="0.25">
      <c r="Z46" s="253" t="str">
        <v>MITCHELL</v>
      </c>
      <c r="AA46" s="250">
        <v>1065.29</v>
      </c>
      <c r="AB46" s="250">
        <v>1065.29</v>
      </c>
      <c r="AC46" s="250">
        <f t="shared" ref="AC46:AC63" si="25">AC45+AA46</f>
        <v>2748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745.4799999999999</v>
      </c>
      <c r="AN46" s="2">
        <f>AN47+AL46</f>
        <v>937.23</v>
      </c>
      <c r="AP46" s="2">
        <f>AP47+AN46</f>
        <v>1065.29</v>
      </c>
      <c r="AR46" s="2">
        <f>AR47+AP46</f>
        <v>1071</v>
      </c>
      <c r="AS46" s="2"/>
      <c r="AU46" s="2">
        <f>AU47+AR46</f>
        <v>1000000</v>
      </c>
      <c r="AW46" s="2">
        <f>AW47+AU46</f>
        <v>1000745.48</v>
      </c>
      <c r="AX46" s="2"/>
      <c r="BG46" t="s">
        <v>212</v>
      </c>
    </row>
    <row r="47" spans="4:75" x14ac:dyDescent="0.25">
      <c r="Z47" s="253" t="str">
        <v>EWING</v>
      </c>
      <c r="AA47" s="250">
        <v>1071</v>
      </c>
      <c r="AB47" s="250">
        <v>1071</v>
      </c>
      <c r="AC47" s="250">
        <f t="shared" si="25"/>
        <v>3819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745.4799999999999</v>
      </c>
      <c r="AN47" s="2">
        <f>MIN(AN48:AN67)</f>
        <v>191.75000000000011</v>
      </c>
      <c r="AP47" s="2">
        <f>MIN(AP48:AP67)</f>
        <v>128.05999999999995</v>
      </c>
      <c r="AR47" s="2">
        <f>MIN(AR48:AR67)</f>
        <v>5.7100000000000364</v>
      </c>
      <c r="AS47" s="2"/>
      <c r="AU47" s="2">
        <f>MIN(AU48:AU67)</f>
        <v>998929</v>
      </c>
      <c r="AW47" s="2">
        <f>MIN(AW48:AW67)</f>
        <v>745.47999999998137</v>
      </c>
      <c r="AX47" s="2"/>
    </row>
    <row r="48" spans="4:75" ht="37.5" x14ac:dyDescent="0.25">
      <c r="Z48" s="253" t="str">
        <v>GIVAN</v>
      </c>
      <c r="AA48" s="250">
        <v>1071</v>
      </c>
      <c r="AB48" s="250">
        <v>1071</v>
      </c>
      <c r="AC48" s="250">
        <f t="shared" si="25"/>
        <v>4890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6">Z14</f>
        <v>EWING</v>
      </c>
      <c r="AK48" s="2">
        <f t="shared" si="26"/>
        <v>1071</v>
      </c>
      <c r="AL48">
        <f>IF(AK48&lt;&gt;0,AK48,1000000)</f>
        <v>1071</v>
      </c>
      <c r="AM48" s="2">
        <f t="shared" ref="AM48:AM67" si="27">AL48-AL$47</f>
        <v>325.5200000000001</v>
      </c>
      <c r="AN48">
        <f>IF(AM48&lt;&gt;0,AM48,1000000)</f>
        <v>325.5200000000001</v>
      </c>
      <c r="AO48" s="2">
        <f t="shared" ref="AO48:AO67" si="28">AN48-AN$47</f>
        <v>133.76999999999998</v>
      </c>
      <c r="AP48">
        <f t="shared" ref="AP48:AP67" si="29">IF(AO48&lt;&gt;0,AO48,1000000)</f>
        <v>133.76999999999998</v>
      </c>
      <c r="AQ48" s="2">
        <f t="shared" ref="AQ48:AQ67" si="30">AP48-AP$47</f>
        <v>5.7100000000000364</v>
      </c>
      <c r="AR48">
        <f t="shared" ref="AR48:AR67" si="31">IF(AQ48&lt;&gt;0,AQ48,1000000)</f>
        <v>5.7100000000000364</v>
      </c>
      <c r="AT48" s="2">
        <f t="shared" ref="AT48:AT67" si="32">AR48-AR$47</f>
        <v>0</v>
      </c>
      <c r="AU48">
        <f t="shared" ref="AU48:AU67" si="33">IF(AT48&lt;&gt;0,AT48,1000000)</f>
        <v>1000000</v>
      </c>
      <c r="AV48" s="2">
        <f t="shared" ref="AV48:AV67" si="34">AU48-AU$47</f>
        <v>1071</v>
      </c>
      <c r="AW48">
        <f t="shared" ref="AW48:AW67" si="35">IF(AV48&lt;&gt;0,AV48,1000000)</f>
        <v>1071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W48" t="s">
        <v>218</v>
      </c>
    </row>
    <row r="49" spans="26:75" x14ac:dyDescent="0.25">
      <c r="Z49" s="253" t="str">
        <v>GREHAN</v>
      </c>
      <c r="AA49" s="250">
        <v>1071</v>
      </c>
      <c r="AB49" s="250">
        <v>1071</v>
      </c>
      <c r="AC49" s="250">
        <f t="shared" si="25"/>
        <v>5961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6"/>
        <v>FLYNN</v>
      </c>
      <c r="AK49" s="2">
        <f t="shared" si="26"/>
        <v>0</v>
      </c>
      <c r="AL49">
        <f t="shared" ref="AL49:AL67" si="36">IF(AK49&lt;&gt;0,AK49,1000000)</f>
        <v>1000000</v>
      </c>
      <c r="AM49" s="2">
        <f t="shared" si="27"/>
        <v>999254.52</v>
      </c>
      <c r="AN49">
        <f t="shared" ref="AN49:AN67" si="37">IF(AM49&lt;&gt;0,AM49,1000000)</f>
        <v>999254.52</v>
      </c>
      <c r="AO49" s="2">
        <f t="shared" si="28"/>
        <v>999062.77</v>
      </c>
      <c r="AP49">
        <f t="shared" si="29"/>
        <v>999062.77</v>
      </c>
      <c r="AQ49" s="2">
        <f t="shared" si="30"/>
        <v>998934.71</v>
      </c>
      <c r="AR49">
        <f t="shared" si="31"/>
        <v>998934.71</v>
      </c>
      <c r="AT49" s="2">
        <f t="shared" si="32"/>
        <v>998929</v>
      </c>
      <c r="AU49">
        <f t="shared" si="33"/>
        <v>998929</v>
      </c>
      <c r="AV49" s="2">
        <f t="shared" si="34"/>
        <v>0</v>
      </c>
      <c r="AW49">
        <f t="shared" si="35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8">BE5</f>
        <v>EWING</v>
      </c>
      <c r="BH49" s="126"/>
      <c r="BI49" s="5">
        <f t="shared" ref="BI49:BI68" si="39">IF(BE5=0,0,IF(BE5=BA$8,-BC$12,0))</f>
        <v>0</v>
      </c>
      <c r="BJ49" s="5">
        <f t="shared" ref="BJ49:BJ68" si="40">BN49</f>
        <v>0</v>
      </c>
      <c r="BK49" s="5">
        <f t="shared" ref="BK49:BK68" si="41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KENNEDY</v>
      </c>
      <c r="AA50" s="250">
        <v>1071</v>
      </c>
      <c r="AB50" s="250">
        <v>1071</v>
      </c>
      <c r="AC50" s="250">
        <f t="shared" si="25"/>
        <v>7032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6"/>
        <v>FRENCH</v>
      </c>
      <c r="AK50" s="2">
        <f t="shared" si="26"/>
        <v>0</v>
      </c>
      <c r="AL50">
        <f t="shared" si="36"/>
        <v>1000000</v>
      </c>
      <c r="AM50" s="2">
        <f t="shared" si="27"/>
        <v>999254.52</v>
      </c>
      <c r="AN50">
        <f t="shared" si="37"/>
        <v>999254.52</v>
      </c>
      <c r="AO50" s="2">
        <f t="shared" si="28"/>
        <v>999062.77</v>
      </c>
      <c r="AP50">
        <f t="shared" si="29"/>
        <v>999062.77</v>
      </c>
      <c r="AQ50" s="2">
        <f t="shared" si="30"/>
        <v>998934.71</v>
      </c>
      <c r="AR50">
        <f t="shared" si="31"/>
        <v>998934.71</v>
      </c>
      <c r="AT50" s="2">
        <f t="shared" si="32"/>
        <v>998929</v>
      </c>
      <c r="AU50">
        <f t="shared" si="33"/>
        <v>998929</v>
      </c>
      <c r="AV50" s="2">
        <f t="shared" si="34"/>
        <v>0</v>
      </c>
      <c r="AW50">
        <f t="shared" si="35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8"/>
        <v>FLYNN</v>
      </c>
      <c r="BH50" s="128"/>
      <c r="BI50" s="5">
        <f t="shared" si="39"/>
        <v>0</v>
      </c>
      <c r="BJ50" s="5">
        <f t="shared" si="40"/>
        <v>0</v>
      </c>
      <c r="BK50" s="5">
        <f t="shared" si="41"/>
        <v>0</v>
      </c>
      <c r="BN50" s="5">
        <f t="shared" ref="BN50:BN68" si="42">IF(BP9="y",-BO9,0)</f>
        <v>0</v>
      </c>
      <c r="BW50" s="5">
        <f t="shared" ref="BW50:BW68" si="43">IF(BP9="y",BO9,0)</f>
        <v>0</v>
      </c>
    </row>
    <row r="51" spans="26:75" ht="12.75" customHeight="1" x14ac:dyDescent="0.25">
      <c r="Z51" s="253" t="str">
        <v>FLYNN</v>
      </c>
      <c r="AA51" s="250">
        <v>0</v>
      </c>
      <c r="AB51" s="250">
        <v>1000000</v>
      </c>
      <c r="AC51" s="250">
        <f t="shared" si="25"/>
        <v>7032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6"/>
        <v>GIVAN</v>
      </c>
      <c r="AK51" s="2">
        <f t="shared" si="26"/>
        <v>1071</v>
      </c>
      <c r="AL51">
        <f t="shared" si="36"/>
        <v>1071</v>
      </c>
      <c r="AM51" s="2">
        <f t="shared" si="27"/>
        <v>325.5200000000001</v>
      </c>
      <c r="AN51">
        <f t="shared" si="37"/>
        <v>325.5200000000001</v>
      </c>
      <c r="AO51" s="2">
        <f t="shared" si="28"/>
        <v>133.76999999999998</v>
      </c>
      <c r="AP51">
        <f t="shared" si="29"/>
        <v>133.76999999999998</v>
      </c>
      <c r="AQ51" s="2">
        <f t="shared" si="30"/>
        <v>5.7100000000000364</v>
      </c>
      <c r="AR51">
        <f t="shared" si="31"/>
        <v>5.7100000000000364</v>
      </c>
      <c r="AT51" s="2">
        <f t="shared" si="32"/>
        <v>0</v>
      </c>
      <c r="AU51">
        <f t="shared" si="33"/>
        <v>1000000</v>
      </c>
      <c r="AV51" s="2">
        <f t="shared" si="34"/>
        <v>1071</v>
      </c>
      <c r="AW51">
        <f t="shared" si="35"/>
        <v>1071</v>
      </c>
      <c r="BE51" s="5">
        <f>IF($BH17="y",$BE17,IF($BH18="y",$BE18,IF($BH19="y",$BE19,IF($BH20="y",$BE20,IF($BH21="y",$BE21,IF($BH22="y",$BE22,0))))))</f>
        <v>0</v>
      </c>
      <c r="BG51" s="127" t="str">
        <f t="shared" si="38"/>
        <v>FRENCH</v>
      </c>
      <c r="BH51" s="128"/>
      <c r="BI51" s="5">
        <f t="shared" si="39"/>
        <v>0</v>
      </c>
      <c r="BJ51" s="5">
        <f t="shared" si="40"/>
        <v>0</v>
      </c>
      <c r="BK51" s="5">
        <f t="shared" si="41"/>
        <v>0</v>
      </c>
      <c r="BN51" s="5">
        <f t="shared" si="42"/>
        <v>0</v>
      </c>
      <c r="BW51" s="5">
        <f t="shared" si="43"/>
        <v>0</v>
      </c>
    </row>
    <row r="52" spans="26:75" x14ac:dyDescent="0.25">
      <c r="Z52" s="253" t="str">
        <v>FRENCH</v>
      </c>
      <c r="AA52" s="250">
        <v>0</v>
      </c>
      <c r="AB52" s="250">
        <v>1000000</v>
      </c>
      <c r="AC52" s="250">
        <f t="shared" si="25"/>
        <v>7032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6"/>
        <v>GREHAN</v>
      </c>
      <c r="AK52" s="2">
        <f t="shared" si="26"/>
        <v>1071</v>
      </c>
      <c r="AL52">
        <f t="shared" si="36"/>
        <v>1071</v>
      </c>
      <c r="AM52" s="2">
        <f t="shared" si="27"/>
        <v>325.5200000000001</v>
      </c>
      <c r="AN52">
        <f t="shared" si="37"/>
        <v>325.5200000000001</v>
      </c>
      <c r="AO52" s="2">
        <f t="shared" si="28"/>
        <v>133.76999999999998</v>
      </c>
      <c r="AP52">
        <f t="shared" si="29"/>
        <v>133.76999999999998</v>
      </c>
      <c r="AQ52" s="2">
        <f t="shared" si="30"/>
        <v>5.7100000000000364</v>
      </c>
      <c r="AR52">
        <f t="shared" si="31"/>
        <v>5.7100000000000364</v>
      </c>
      <c r="AT52" s="2">
        <f t="shared" si="32"/>
        <v>0</v>
      </c>
      <c r="AU52">
        <f t="shared" si="33"/>
        <v>1000000</v>
      </c>
      <c r="AV52" s="2">
        <f t="shared" si="34"/>
        <v>1071</v>
      </c>
      <c r="AW52">
        <f t="shared" si="35"/>
        <v>1071</v>
      </c>
      <c r="BE52" s="5">
        <f>IF($BH23="y",$BE23,IF($BH24="y",$BE24,0))</f>
        <v>0</v>
      </c>
      <c r="BG52" s="127" t="str">
        <f t="shared" si="38"/>
        <v>GIVAN</v>
      </c>
      <c r="BH52" s="128"/>
      <c r="BI52" s="5">
        <f t="shared" si="39"/>
        <v>0</v>
      </c>
      <c r="BJ52" s="5">
        <f t="shared" si="40"/>
        <v>0</v>
      </c>
      <c r="BK52" s="5">
        <f t="shared" si="41"/>
        <v>0</v>
      </c>
      <c r="BN52" s="5">
        <f t="shared" si="42"/>
        <v>0</v>
      </c>
      <c r="BW52" s="5">
        <f t="shared" si="43"/>
        <v>0</v>
      </c>
    </row>
    <row r="53" spans="26:75" x14ac:dyDescent="0.25">
      <c r="Z53" s="253" t="str">
        <v>MCEVOY</v>
      </c>
      <c r="AA53" s="250">
        <v>0</v>
      </c>
      <c r="AB53" s="250">
        <v>1000000</v>
      </c>
      <c r="AC53" s="250">
        <f t="shared" si="25"/>
        <v>7032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6"/>
        <v>KENNEDY</v>
      </c>
      <c r="AK53" s="2">
        <f t="shared" si="26"/>
        <v>1071</v>
      </c>
      <c r="AL53">
        <f t="shared" si="36"/>
        <v>1071</v>
      </c>
      <c r="AM53" s="2">
        <f t="shared" si="27"/>
        <v>325.5200000000001</v>
      </c>
      <c r="AN53">
        <f t="shared" si="37"/>
        <v>325.5200000000001</v>
      </c>
      <c r="AO53" s="2">
        <f t="shared" si="28"/>
        <v>133.76999999999998</v>
      </c>
      <c r="AP53">
        <f t="shared" si="29"/>
        <v>133.76999999999998</v>
      </c>
      <c r="AQ53" s="2">
        <f t="shared" si="30"/>
        <v>5.7100000000000364</v>
      </c>
      <c r="AR53">
        <f t="shared" si="31"/>
        <v>5.7100000000000364</v>
      </c>
      <c r="AT53" s="2">
        <f t="shared" si="32"/>
        <v>0</v>
      </c>
      <c r="AU53">
        <f t="shared" si="33"/>
        <v>1000000</v>
      </c>
      <c r="AV53" s="2">
        <f t="shared" si="34"/>
        <v>1071</v>
      </c>
      <c r="AW53">
        <f t="shared" si="35"/>
        <v>1071</v>
      </c>
      <c r="BG53" s="127" t="str">
        <f t="shared" si="38"/>
        <v>GREHAN</v>
      </c>
      <c r="BH53" s="128"/>
      <c r="BI53" s="5">
        <f t="shared" si="39"/>
        <v>0</v>
      </c>
      <c r="BJ53" s="5">
        <f t="shared" si="40"/>
        <v>0</v>
      </c>
      <c r="BK53" s="5">
        <f t="shared" si="41"/>
        <v>0</v>
      </c>
      <c r="BN53" s="5">
        <f t="shared" si="42"/>
        <v>0</v>
      </c>
      <c r="BW53" s="5">
        <f t="shared" si="43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5"/>
        <v>7032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6"/>
        <v>MCEVOY</v>
      </c>
      <c r="AK54" s="2">
        <f t="shared" si="26"/>
        <v>0</v>
      </c>
      <c r="AL54">
        <f t="shared" si="36"/>
        <v>1000000</v>
      </c>
      <c r="AM54" s="2">
        <f t="shared" si="27"/>
        <v>999254.52</v>
      </c>
      <c r="AN54">
        <f t="shared" si="37"/>
        <v>999254.52</v>
      </c>
      <c r="AO54" s="2">
        <f t="shared" si="28"/>
        <v>999062.77</v>
      </c>
      <c r="AP54">
        <f t="shared" si="29"/>
        <v>999062.77</v>
      </c>
      <c r="AQ54" s="2">
        <f t="shared" si="30"/>
        <v>998934.71</v>
      </c>
      <c r="AR54">
        <f t="shared" si="31"/>
        <v>998934.71</v>
      </c>
      <c r="AT54" s="2">
        <f t="shared" si="32"/>
        <v>998929</v>
      </c>
      <c r="AU54">
        <f t="shared" si="33"/>
        <v>998929</v>
      </c>
      <c r="AV54" s="2">
        <f t="shared" si="34"/>
        <v>0</v>
      </c>
      <c r="AW54">
        <f t="shared" si="35"/>
        <v>1000000</v>
      </c>
      <c r="BG54" s="127" t="str">
        <f t="shared" si="38"/>
        <v>KENNEDY</v>
      </c>
      <c r="BH54" s="128"/>
      <c r="BI54" s="5">
        <f t="shared" si="39"/>
        <v>0</v>
      </c>
      <c r="BJ54" s="5">
        <f t="shared" si="40"/>
        <v>0</v>
      </c>
      <c r="BK54" s="5">
        <f t="shared" si="41"/>
        <v>0</v>
      </c>
      <c r="BN54" s="5">
        <f t="shared" si="42"/>
        <v>0</v>
      </c>
      <c r="BW54" s="5">
        <f t="shared" si="43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5"/>
        <v>7032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6"/>
        <v>MITCHELL</v>
      </c>
      <c r="AK55" s="2">
        <f t="shared" si="26"/>
        <v>1065.29</v>
      </c>
      <c r="AL55">
        <f t="shared" si="36"/>
        <v>1065.29</v>
      </c>
      <c r="AM55" s="2">
        <f t="shared" si="27"/>
        <v>319.81000000000006</v>
      </c>
      <c r="AN55">
        <f t="shared" si="37"/>
        <v>319.81000000000006</v>
      </c>
      <c r="AO55" s="2">
        <f t="shared" si="28"/>
        <v>128.05999999999995</v>
      </c>
      <c r="AP55">
        <f t="shared" si="29"/>
        <v>128.05999999999995</v>
      </c>
      <c r="AQ55" s="2">
        <f t="shared" si="30"/>
        <v>0</v>
      </c>
      <c r="AR55">
        <f t="shared" si="31"/>
        <v>1000000</v>
      </c>
      <c r="AT55" s="2">
        <f t="shared" si="32"/>
        <v>999994.29</v>
      </c>
      <c r="AU55">
        <f t="shared" si="33"/>
        <v>999994.29</v>
      </c>
      <c r="AV55" s="2">
        <f t="shared" si="34"/>
        <v>1065.2900000000373</v>
      </c>
      <c r="AW55">
        <f t="shared" si="35"/>
        <v>1065.2900000000373</v>
      </c>
      <c r="BG55" s="127" t="str">
        <f t="shared" si="38"/>
        <v>MCEVOY</v>
      </c>
      <c r="BH55" s="128"/>
      <c r="BI55" s="5">
        <f t="shared" si="39"/>
        <v>0</v>
      </c>
      <c r="BJ55" s="5">
        <f t="shared" si="40"/>
        <v>0</v>
      </c>
      <c r="BK55" s="5">
        <f t="shared" si="41"/>
        <v>0</v>
      </c>
      <c r="BN55" s="5">
        <f t="shared" si="42"/>
        <v>0</v>
      </c>
      <c r="BW55" s="5">
        <f t="shared" si="43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5"/>
        <v>7032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6"/>
        <v>PALMER</v>
      </c>
      <c r="AK56" s="2">
        <f t="shared" si="26"/>
        <v>745.4799999999999</v>
      </c>
      <c r="AL56">
        <f t="shared" si="36"/>
        <v>745.4799999999999</v>
      </c>
      <c r="AM56" s="2">
        <f t="shared" si="27"/>
        <v>0</v>
      </c>
      <c r="AN56">
        <f t="shared" si="37"/>
        <v>1000000</v>
      </c>
      <c r="AO56" s="2">
        <f t="shared" si="28"/>
        <v>999808.25</v>
      </c>
      <c r="AP56">
        <f t="shared" si="29"/>
        <v>999808.25</v>
      </c>
      <c r="AQ56" s="2">
        <f t="shared" si="30"/>
        <v>999680.19</v>
      </c>
      <c r="AR56">
        <f t="shared" si="31"/>
        <v>999680.19</v>
      </c>
      <c r="AT56" s="2">
        <f t="shared" si="32"/>
        <v>999674.48</v>
      </c>
      <c r="AU56">
        <f t="shared" si="33"/>
        <v>999674.48</v>
      </c>
      <c r="AV56" s="2">
        <f t="shared" si="34"/>
        <v>745.47999999998137</v>
      </c>
      <c r="AW56">
        <f t="shared" si="35"/>
        <v>745.47999999998137</v>
      </c>
      <c r="BG56" s="127" t="str">
        <f t="shared" si="38"/>
        <v>MITCHELL</v>
      </c>
      <c r="BH56" s="128"/>
      <c r="BI56" s="5">
        <f t="shared" si="39"/>
        <v>0</v>
      </c>
      <c r="BJ56" s="5">
        <f t="shared" si="40"/>
        <v>0</v>
      </c>
      <c r="BK56" s="5">
        <f t="shared" si="41"/>
        <v>0</v>
      </c>
      <c r="BN56" s="5">
        <f t="shared" si="42"/>
        <v>0</v>
      </c>
      <c r="BW56" s="5">
        <f t="shared" si="43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5"/>
        <v>7032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6"/>
        <v>PORTER</v>
      </c>
      <c r="AK57" s="2">
        <f t="shared" si="26"/>
        <v>937.23</v>
      </c>
      <c r="AL57">
        <f t="shared" si="36"/>
        <v>937.23</v>
      </c>
      <c r="AM57" s="2">
        <f t="shared" si="27"/>
        <v>191.75000000000011</v>
      </c>
      <c r="AN57">
        <f t="shared" si="37"/>
        <v>191.75000000000011</v>
      </c>
      <c r="AO57" s="2">
        <f t="shared" si="28"/>
        <v>0</v>
      </c>
      <c r="AP57">
        <f t="shared" si="29"/>
        <v>1000000</v>
      </c>
      <c r="AQ57" s="2">
        <f t="shared" si="30"/>
        <v>999871.94</v>
      </c>
      <c r="AR57">
        <f t="shared" si="31"/>
        <v>999871.94</v>
      </c>
      <c r="AT57" s="2">
        <f t="shared" si="32"/>
        <v>999866.23</v>
      </c>
      <c r="AU57">
        <f t="shared" si="33"/>
        <v>999866.23</v>
      </c>
      <c r="AV57" s="2">
        <f t="shared" si="34"/>
        <v>937.22999999998137</v>
      </c>
      <c r="AW57">
        <f t="shared" si="35"/>
        <v>937.22999999998137</v>
      </c>
      <c r="BG57" s="127" t="str">
        <f t="shared" si="38"/>
        <v>PALMER</v>
      </c>
      <c r="BH57" s="128"/>
      <c r="BI57" s="5">
        <f t="shared" si="39"/>
        <v>0</v>
      </c>
      <c r="BJ57" s="5">
        <f t="shared" si="40"/>
        <v>-745.4799999999999</v>
      </c>
      <c r="BK57" s="5">
        <f t="shared" si="41"/>
        <v>-745.4799999999999</v>
      </c>
      <c r="BN57" s="5">
        <f t="shared" si="42"/>
        <v>-745.4799999999999</v>
      </c>
      <c r="BW57" s="5">
        <f t="shared" si="43"/>
        <v>745.4799999999999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5"/>
        <v>7032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6"/>
        <v>0</v>
      </c>
      <c r="AK58" s="2">
        <f t="shared" si="26"/>
        <v>0</v>
      </c>
      <c r="AL58">
        <f t="shared" si="36"/>
        <v>1000000</v>
      </c>
      <c r="AM58" s="2">
        <f t="shared" si="27"/>
        <v>999254.52</v>
      </c>
      <c r="AN58">
        <f t="shared" si="37"/>
        <v>999254.52</v>
      </c>
      <c r="AO58" s="2">
        <f t="shared" si="28"/>
        <v>999062.77</v>
      </c>
      <c r="AP58">
        <f t="shared" si="29"/>
        <v>999062.77</v>
      </c>
      <c r="AQ58" s="2">
        <f t="shared" si="30"/>
        <v>998934.71</v>
      </c>
      <c r="AR58">
        <f t="shared" si="31"/>
        <v>998934.71</v>
      </c>
      <c r="AT58" s="2">
        <f t="shared" si="32"/>
        <v>998929</v>
      </c>
      <c r="AU58">
        <f t="shared" si="33"/>
        <v>998929</v>
      </c>
      <c r="AV58" s="2">
        <f t="shared" si="34"/>
        <v>0</v>
      </c>
      <c r="AW58">
        <f t="shared" si="35"/>
        <v>1000000</v>
      </c>
      <c r="BG58" s="127" t="str">
        <f t="shared" si="38"/>
        <v>PORTER</v>
      </c>
      <c r="BH58" s="128"/>
      <c r="BI58" s="5">
        <f t="shared" si="39"/>
        <v>0</v>
      </c>
      <c r="BJ58" s="5">
        <f t="shared" si="40"/>
        <v>0</v>
      </c>
      <c r="BK58" s="5">
        <f t="shared" si="41"/>
        <v>0</v>
      </c>
      <c r="BN58" s="5">
        <f t="shared" si="42"/>
        <v>0</v>
      </c>
      <c r="BW58" s="5">
        <f t="shared" si="43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5"/>
        <v>7032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6"/>
        <v>0</v>
      </c>
      <c r="AK59" s="2">
        <f t="shared" si="26"/>
        <v>0</v>
      </c>
      <c r="AL59">
        <f t="shared" si="36"/>
        <v>1000000</v>
      </c>
      <c r="AM59" s="2">
        <f t="shared" si="27"/>
        <v>999254.52</v>
      </c>
      <c r="AN59">
        <f t="shared" si="37"/>
        <v>999254.52</v>
      </c>
      <c r="AO59" s="2">
        <f t="shared" si="28"/>
        <v>999062.77</v>
      </c>
      <c r="AP59">
        <f t="shared" si="29"/>
        <v>999062.77</v>
      </c>
      <c r="AQ59" s="2">
        <f t="shared" si="30"/>
        <v>998934.71</v>
      </c>
      <c r="AR59">
        <f t="shared" si="31"/>
        <v>998934.71</v>
      </c>
      <c r="AT59" s="2">
        <f t="shared" si="32"/>
        <v>998929</v>
      </c>
      <c r="AU59">
        <f t="shared" si="33"/>
        <v>998929</v>
      </c>
      <c r="AV59" s="2">
        <f t="shared" si="34"/>
        <v>0</v>
      </c>
      <c r="AW59">
        <f t="shared" si="35"/>
        <v>1000000</v>
      </c>
      <c r="BG59" s="127">
        <f t="shared" si="38"/>
        <v>0</v>
      </c>
      <c r="BH59" s="128"/>
      <c r="BI59" s="5">
        <f t="shared" si="39"/>
        <v>0</v>
      </c>
      <c r="BJ59" s="5">
        <f t="shared" si="40"/>
        <v>0</v>
      </c>
      <c r="BK59" s="5">
        <f t="shared" si="41"/>
        <v>0</v>
      </c>
      <c r="BN59" s="5">
        <f t="shared" si="42"/>
        <v>0</v>
      </c>
      <c r="BW59" s="5">
        <f t="shared" si="43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5"/>
        <v>7032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6"/>
        <v>0</v>
      </c>
      <c r="AK60" s="2">
        <f t="shared" si="26"/>
        <v>0</v>
      </c>
      <c r="AL60">
        <f t="shared" si="36"/>
        <v>1000000</v>
      </c>
      <c r="AM60" s="2">
        <f t="shared" si="27"/>
        <v>999254.52</v>
      </c>
      <c r="AN60">
        <f t="shared" si="37"/>
        <v>999254.52</v>
      </c>
      <c r="AO60" s="2">
        <f t="shared" si="28"/>
        <v>999062.77</v>
      </c>
      <c r="AP60">
        <f t="shared" si="29"/>
        <v>999062.77</v>
      </c>
      <c r="AQ60" s="2">
        <f t="shared" si="30"/>
        <v>998934.71</v>
      </c>
      <c r="AR60">
        <f t="shared" si="31"/>
        <v>998934.71</v>
      </c>
      <c r="AT60" s="2">
        <f t="shared" si="32"/>
        <v>998929</v>
      </c>
      <c r="AU60">
        <f t="shared" si="33"/>
        <v>998929</v>
      </c>
      <c r="AV60" s="2">
        <f t="shared" si="34"/>
        <v>0</v>
      </c>
      <c r="AW60">
        <f t="shared" si="35"/>
        <v>1000000</v>
      </c>
      <c r="BG60" s="127">
        <f t="shared" si="38"/>
        <v>0</v>
      </c>
      <c r="BH60" s="128"/>
      <c r="BI60" s="5">
        <f t="shared" si="39"/>
        <v>0</v>
      </c>
      <c r="BJ60" s="5">
        <f t="shared" si="40"/>
        <v>0</v>
      </c>
      <c r="BK60" s="5">
        <f t="shared" si="41"/>
        <v>0</v>
      </c>
      <c r="BN60" s="5">
        <f t="shared" si="42"/>
        <v>0</v>
      </c>
      <c r="BW60" s="5">
        <f t="shared" si="43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5"/>
        <v>7032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6"/>
        <v>0</v>
      </c>
      <c r="AK61" s="2">
        <f t="shared" si="26"/>
        <v>0</v>
      </c>
      <c r="AL61">
        <f t="shared" si="36"/>
        <v>1000000</v>
      </c>
      <c r="AM61" s="2">
        <f t="shared" si="27"/>
        <v>999254.52</v>
      </c>
      <c r="AN61">
        <f t="shared" si="37"/>
        <v>999254.52</v>
      </c>
      <c r="AO61" s="2">
        <f t="shared" si="28"/>
        <v>999062.77</v>
      </c>
      <c r="AP61">
        <f t="shared" si="29"/>
        <v>999062.77</v>
      </c>
      <c r="AQ61" s="2">
        <f t="shared" si="30"/>
        <v>998934.71</v>
      </c>
      <c r="AR61">
        <f t="shared" si="31"/>
        <v>998934.71</v>
      </c>
      <c r="AT61" s="2">
        <f t="shared" si="32"/>
        <v>998929</v>
      </c>
      <c r="AU61">
        <f t="shared" si="33"/>
        <v>998929</v>
      </c>
      <c r="AV61" s="2">
        <f t="shared" si="34"/>
        <v>0</v>
      </c>
      <c r="AW61">
        <f t="shared" si="35"/>
        <v>1000000</v>
      </c>
      <c r="BG61" s="127">
        <f t="shared" si="38"/>
        <v>0</v>
      </c>
      <c r="BH61" s="128"/>
      <c r="BI61" s="5">
        <f t="shared" si="39"/>
        <v>0</v>
      </c>
      <c r="BJ61" s="5">
        <f t="shared" si="40"/>
        <v>0</v>
      </c>
      <c r="BK61" s="5">
        <f t="shared" si="41"/>
        <v>0</v>
      </c>
      <c r="BN61" s="5">
        <f t="shared" si="42"/>
        <v>0</v>
      </c>
      <c r="BW61" s="5">
        <f t="shared" si="43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5"/>
        <v>7032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6"/>
        <v>0</v>
      </c>
      <c r="AK62" s="2">
        <f t="shared" si="26"/>
        <v>0</v>
      </c>
      <c r="AL62">
        <f t="shared" si="36"/>
        <v>1000000</v>
      </c>
      <c r="AM62" s="2">
        <f t="shared" si="27"/>
        <v>999254.52</v>
      </c>
      <c r="AN62">
        <f t="shared" si="37"/>
        <v>999254.52</v>
      </c>
      <c r="AO62" s="2">
        <f t="shared" si="28"/>
        <v>999062.77</v>
      </c>
      <c r="AP62">
        <f t="shared" si="29"/>
        <v>999062.77</v>
      </c>
      <c r="AQ62" s="2">
        <f t="shared" si="30"/>
        <v>998934.71</v>
      </c>
      <c r="AR62">
        <f t="shared" si="31"/>
        <v>998934.71</v>
      </c>
      <c r="AT62" s="2">
        <f t="shared" si="32"/>
        <v>998929</v>
      </c>
      <c r="AU62">
        <f t="shared" si="33"/>
        <v>998929</v>
      </c>
      <c r="AV62" s="2">
        <f t="shared" si="34"/>
        <v>0</v>
      </c>
      <c r="AW62">
        <f t="shared" si="35"/>
        <v>1000000</v>
      </c>
      <c r="BG62" s="127">
        <f t="shared" si="38"/>
        <v>0</v>
      </c>
      <c r="BH62" s="128"/>
      <c r="BI62" s="5">
        <f t="shared" si="39"/>
        <v>0</v>
      </c>
      <c r="BJ62" s="5">
        <f t="shared" si="40"/>
        <v>0</v>
      </c>
      <c r="BK62" s="5">
        <f t="shared" si="41"/>
        <v>0</v>
      </c>
      <c r="BN62" s="5">
        <f t="shared" si="42"/>
        <v>0</v>
      </c>
      <c r="BW62" s="5">
        <f t="shared" si="43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5"/>
        <v>7032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6"/>
        <v>0</v>
      </c>
      <c r="AK63" s="2">
        <f t="shared" si="26"/>
        <v>0</v>
      </c>
      <c r="AL63">
        <f t="shared" si="36"/>
        <v>1000000</v>
      </c>
      <c r="AM63" s="2">
        <f t="shared" si="27"/>
        <v>999254.52</v>
      </c>
      <c r="AN63">
        <f t="shared" si="37"/>
        <v>999254.52</v>
      </c>
      <c r="AO63" s="2">
        <f t="shared" si="28"/>
        <v>999062.77</v>
      </c>
      <c r="AP63">
        <f t="shared" si="29"/>
        <v>999062.77</v>
      </c>
      <c r="AQ63" s="2">
        <f t="shared" si="30"/>
        <v>998934.71</v>
      </c>
      <c r="AR63">
        <f t="shared" si="31"/>
        <v>998934.71</v>
      </c>
      <c r="AT63" s="2">
        <f t="shared" si="32"/>
        <v>998929</v>
      </c>
      <c r="AU63">
        <f t="shared" si="33"/>
        <v>998929</v>
      </c>
      <c r="AV63" s="2">
        <f t="shared" si="34"/>
        <v>0</v>
      </c>
      <c r="AW63">
        <f t="shared" si="35"/>
        <v>1000000</v>
      </c>
      <c r="BG63" s="127">
        <f t="shared" si="38"/>
        <v>0</v>
      </c>
      <c r="BH63" s="128"/>
      <c r="BI63" s="5">
        <f t="shared" si="39"/>
        <v>0</v>
      </c>
      <c r="BJ63" s="5">
        <f t="shared" si="40"/>
        <v>0</v>
      </c>
      <c r="BK63" s="5">
        <f t="shared" si="41"/>
        <v>0</v>
      </c>
      <c r="BN63" s="5">
        <f t="shared" si="42"/>
        <v>0</v>
      </c>
      <c r="BW63" s="5">
        <f t="shared" si="43"/>
        <v>0</v>
      </c>
    </row>
    <row r="64" spans="26:75" ht="15" customHeight="1" x14ac:dyDescent="0.25">
      <c r="AJ64">
        <f t="shared" ref="AJ64:AK67" si="44">Z30</f>
        <v>0</v>
      </c>
      <c r="AK64" s="2">
        <f t="shared" si="44"/>
        <v>0</v>
      </c>
      <c r="AL64">
        <f t="shared" si="36"/>
        <v>1000000</v>
      </c>
      <c r="AM64" s="2">
        <f t="shared" si="27"/>
        <v>999254.52</v>
      </c>
      <c r="AN64">
        <f t="shared" si="37"/>
        <v>999254.52</v>
      </c>
      <c r="AO64" s="2">
        <f t="shared" si="28"/>
        <v>999062.77</v>
      </c>
      <c r="AP64">
        <f t="shared" si="29"/>
        <v>999062.77</v>
      </c>
      <c r="AQ64" s="2">
        <f t="shared" si="30"/>
        <v>998934.71</v>
      </c>
      <c r="AR64">
        <f t="shared" si="31"/>
        <v>998934.71</v>
      </c>
      <c r="AT64" s="2">
        <f t="shared" si="32"/>
        <v>998929</v>
      </c>
      <c r="AU64">
        <f t="shared" si="33"/>
        <v>998929</v>
      </c>
      <c r="AV64" s="2">
        <f t="shared" si="34"/>
        <v>0</v>
      </c>
      <c r="AW64">
        <f t="shared" si="35"/>
        <v>1000000</v>
      </c>
      <c r="BG64" s="127">
        <f t="shared" si="38"/>
        <v>0</v>
      </c>
      <c r="BH64" s="128"/>
      <c r="BI64" s="5">
        <f t="shared" si="39"/>
        <v>0</v>
      </c>
      <c r="BJ64" s="5">
        <f t="shared" si="40"/>
        <v>0</v>
      </c>
      <c r="BK64" s="5">
        <f t="shared" si="41"/>
        <v>0</v>
      </c>
      <c r="BN64" s="5">
        <f t="shared" si="42"/>
        <v>0</v>
      </c>
      <c r="BW64" s="5">
        <f t="shared" si="43"/>
        <v>0</v>
      </c>
    </row>
    <row r="65" spans="36:75" x14ac:dyDescent="0.25">
      <c r="AJ65">
        <f t="shared" si="44"/>
        <v>0</v>
      </c>
      <c r="AK65" s="2">
        <f t="shared" si="44"/>
        <v>0</v>
      </c>
      <c r="AL65">
        <f t="shared" si="36"/>
        <v>1000000</v>
      </c>
      <c r="AM65" s="2">
        <f t="shared" si="27"/>
        <v>999254.52</v>
      </c>
      <c r="AN65">
        <f t="shared" si="37"/>
        <v>999254.52</v>
      </c>
      <c r="AO65" s="2">
        <f t="shared" si="28"/>
        <v>999062.77</v>
      </c>
      <c r="AP65">
        <f t="shared" si="29"/>
        <v>999062.77</v>
      </c>
      <c r="AQ65" s="2">
        <f t="shared" si="30"/>
        <v>998934.71</v>
      </c>
      <c r="AR65">
        <f t="shared" si="31"/>
        <v>998934.71</v>
      </c>
      <c r="AT65" s="2">
        <f t="shared" si="32"/>
        <v>998929</v>
      </c>
      <c r="AU65">
        <f t="shared" si="33"/>
        <v>998929</v>
      </c>
      <c r="AV65" s="2">
        <f t="shared" si="34"/>
        <v>0</v>
      </c>
      <c r="AW65">
        <f t="shared" si="35"/>
        <v>1000000</v>
      </c>
      <c r="BG65" s="127">
        <f t="shared" si="38"/>
        <v>0</v>
      </c>
      <c r="BH65" s="128"/>
      <c r="BI65" s="5">
        <f t="shared" si="39"/>
        <v>0</v>
      </c>
      <c r="BJ65" s="5">
        <f t="shared" si="40"/>
        <v>0</v>
      </c>
      <c r="BK65" s="5">
        <f t="shared" si="41"/>
        <v>0</v>
      </c>
      <c r="BN65" s="5">
        <f t="shared" si="42"/>
        <v>0</v>
      </c>
      <c r="BW65" s="5">
        <f t="shared" si="43"/>
        <v>0</v>
      </c>
    </row>
    <row r="66" spans="36:75" ht="14.25" customHeight="1" x14ac:dyDescent="0.25">
      <c r="AJ66">
        <f t="shared" si="44"/>
        <v>0</v>
      </c>
      <c r="AK66" s="2">
        <f t="shared" si="44"/>
        <v>0</v>
      </c>
      <c r="AL66">
        <f t="shared" si="36"/>
        <v>1000000</v>
      </c>
      <c r="AM66" s="2">
        <f t="shared" si="27"/>
        <v>999254.52</v>
      </c>
      <c r="AN66">
        <f t="shared" si="37"/>
        <v>999254.52</v>
      </c>
      <c r="AO66" s="2">
        <f t="shared" si="28"/>
        <v>999062.77</v>
      </c>
      <c r="AP66">
        <f t="shared" si="29"/>
        <v>999062.77</v>
      </c>
      <c r="AQ66" s="2">
        <f t="shared" si="30"/>
        <v>998934.71</v>
      </c>
      <c r="AR66">
        <f t="shared" si="31"/>
        <v>998934.71</v>
      </c>
      <c r="AT66" s="2">
        <f t="shared" si="32"/>
        <v>998929</v>
      </c>
      <c r="AU66">
        <f t="shared" si="33"/>
        <v>998929</v>
      </c>
      <c r="AV66" s="2">
        <f t="shared" si="34"/>
        <v>0</v>
      </c>
      <c r="AW66">
        <f t="shared" si="35"/>
        <v>1000000</v>
      </c>
      <c r="BG66" s="127">
        <f t="shared" si="38"/>
        <v>0</v>
      </c>
      <c r="BH66" s="128"/>
      <c r="BI66" s="5">
        <f t="shared" si="39"/>
        <v>0</v>
      </c>
      <c r="BJ66" s="5">
        <f t="shared" si="40"/>
        <v>0</v>
      </c>
      <c r="BK66" s="5">
        <f t="shared" si="41"/>
        <v>0</v>
      </c>
      <c r="BN66" s="5">
        <f t="shared" si="42"/>
        <v>0</v>
      </c>
      <c r="BW66" s="5">
        <f t="shared" si="43"/>
        <v>0</v>
      </c>
    </row>
    <row r="67" spans="36:75" x14ac:dyDescent="0.25">
      <c r="AJ67">
        <f t="shared" si="44"/>
        <v>0</v>
      </c>
      <c r="AK67" s="2">
        <f t="shared" si="44"/>
        <v>0</v>
      </c>
      <c r="AL67">
        <f t="shared" si="36"/>
        <v>1000000</v>
      </c>
      <c r="AM67" s="2">
        <f t="shared" si="27"/>
        <v>999254.52</v>
      </c>
      <c r="AN67">
        <f t="shared" si="37"/>
        <v>999254.52</v>
      </c>
      <c r="AO67" s="2">
        <f t="shared" si="28"/>
        <v>999062.77</v>
      </c>
      <c r="AP67">
        <f t="shared" si="29"/>
        <v>999062.77</v>
      </c>
      <c r="AQ67" s="2">
        <f t="shared" si="30"/>
        <v>998934.71</v>
      </c>
      <c r="AR67">
        <f t="shared" si="31"/>
        <v>998934.71</v>
      </c>
      <c r="AT67" s="2">
        <f t="shared" si="32"/>
        <v>998929</v>
      </c>
      <c r="AU67">
        <f t="shared" si="33"/>
        <v>998929</v>
      </c>
      <c r="AV67" s="2">
        <f t="shared" si="34"/>
        <v>0</v>
      </c>
      <c r="AW67">
        <f t="shared" si="35"/>
        <v>1000000</v>
      </c>
      <c r="BG67" s="127">
        <f t="shared" si="38"/>
        <v>0</v>
      </c>
      <c r="BH67" s="128"/>
      <c r="BI67" s="5">
        <f t="shared" si="39"/>
        <v>0</v>
      </c>
      <c r="BJ67" s="5">
        <f t="shared" si="40"/>
        <v>0</v>
      </c>
      <c r="BK67" s="5">
        <f t="shared" si="41"/>
        <v>0</v>
      </c>
      <c r="BN67" s="5">
        <f t="shared" si="42"/>
        <v>0</v>
      </c>
      <c r="BW67" s="5">
        <f t="shared" si="43"/>
        <v>0</v>
      </c>
    </row>
    <row r="68" spans="36:75" x14ac:dyDescent="0.25">
      <c r="BG68" s="129">
        <f t="shared" si="38"/>
        <v>0</v>
      </c>
      <c r="BH68" s="130"/>
      <c r="BI68" s="5">
        <f t="shared" si="39"/>
        <v>0</v>
      </c>
      <c r="BJ68" s="5">
        <f t="shared" si="40"/>
        <v>0</v>
      </c>
      <c r="BK68" s="5">
        <f t="shared" si="41"/>
        <v>0</v>
      </c>
      <c r="BN68" s="5">
        <f t="shared" si="42"/>
        <v>0</v>
      </c>
      <c r="BW68" s="5">
        <f t="shared" si="43"/>
        <v>0</v>
      </c>
    </row>
    <row r="69" spans="36:75" ht="12.75" customHeight="1" x14ac:dyDescent="0.25">
      <c r="BG69" t="s">
        <v>219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745.4799999999999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1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1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1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265</v>
      </c>
      <c r="DF210" s="231" t="s">
        <v>221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T11</f>
        <v>0</v>
      </c>
      <c r="DF211" s="233">
        <f>U11</f>
        <v>1071</v>
      </c>
    </row>
    <row r="212" spans="105:110" ht="15.5" x14ac:dyDescent="0.35">
      <c r="DA212" s="232" t="str">
        <f t="shared" ref="DA212:DA230" si="48">IF(A12="Elected","E",IF(A12="Excluded","Excluded",""))&amp;IF(B12&gt;0,B12,"")</f>
        <v>Excluded</v>
      </c>
      <c r="DB212" s="232" t="str">
        <f t="shared" ref="DB212:DD227" si="49">C12</f>
        <v>FLYNN</v>
      </c>
      <c r="DC212" s="232" t="str">
        <f t="shared" si="49"/>
        <v>Sinn Féin</v>
      </c>
      <c r="DD212" s="233">
        <f t="shared" si="49"/>
        <v>493</v>
      </c>
      <c r="DE212" s="233">
        <f t="shared" ref="DE212:DF212" si="50">T12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FRENCH</v>
      </c>
      <c r="DC213" s="232" t="str">
        <f t="shared" si="49"/>
        <v xml:space="preserve">SDLP </v>
      </c>
      <c r="DD213" s="233">
        <f t="shared" si="49"/>
        <v>472</v>
      </c>
      <c r="DE213" s="233">
        <f t="shared" ref="DE213:DF213" si="51">T13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GIVAN</v>
      </c>
      <c r="DC214" s="232" t="str">
        <f t="shared" si="49"/>
        <v>D.U.P.</v>
      </c>
      <c r="DD214" s="233">
        <f t="shared" si="49"/>
        <v>1038</v>
      </c>
      <c r="DE214" s="233">
        <f t="shared" ref="DE214:DF214" si="52">T14</f>
        <v>0</v>
      </c>
      <c r="DF214" s="233">
        <f t="shared" si="52"/>
        <v>1071</v>
      </c>
    </row>
    <row r="215" spans="105:110" ht="15.5" x14ac:dyDescent="0.35">
      <c r="DA215" s="232" t="str">
        <f t="shared" si="48"/>
        <v>E2</v>
      </c>
      <c r="DB215" s="232" t="str">
        <f t="shared" si="49"/>
        <v>GREHAN</v>
      </c>
      <c r="DC215" s="232" t="str">
        <f t="shared" si="49"/>
        <v>Alliance Party</v>
      </c>
      <c r="DD215" s="233">
        <f t="shared" si="49"/>
        <v>1111</v>
      </c>
      <c r="DE215" s="233">
        <f t="shared" ref="DE215:DF215" si="53">T15</f>
        <v>0</v>
      </c>
      <c r="DF215" s="233">
        <f t="shared" si="53"/>
        <v>1071</v>
      </c>
    </row>
    <row r="216" spans="105:110" ht="15.5" x14ac:dyDescent="0.35">
      <c r="DA216" s="232" t="str">
        <f t="shared" si="48"/>
        <v>E4</v>
      </c>
      <c r="DB216" s="232" t="str">
        <f t="shared" si="49"/>
        <v>KENNEDY</v>
      </c>
      <c r="DC216" s="232" t="str">
        <f t="shared" si="49"/>
        <v>Alliance Party</v>
      </c>
      <c r="DD216" s="233">
        <f t="shared" si="49"/>
        <v>674</v>
      </c>
      <c r="DE216" s="233">
        <f t="shared" ref="DE216:DF216" si="54">T16</f>
        <v>0</v>
      </c>
      <c r="DF216" s="233">
        <f t="shared" si="54"/>
        <v>1071</v>
      </c>
    </row>
    <row r="217" spans="105:110" ht="15.5" x14ac:dyDescent="0.35">
      <c r="DA217" s="232" t="str">
        <f t="shared" si="48"/>
        <v>Excluded</v>
      </c>
      <c r="DB217" s="232" t="str">
        <f t="shared" si="49"/>
        <v>MCEVOY</v>
      </c>
      <c r="DC217" s="232" t="str">
        <f t="shared" si="49"/>
        <v xml:space="preserve">TUV </v>
      </c>
      <c r="DD217" s="233">
        <f t="shared" si="49"/>
        <v>387</v>
      </c>
      <c r="DE217" s="233">
        <f t="shared" ref="DE217:DF217" si="55">T17</f>
        <v>0</v>
      </c>
      <c r="DF217" s="233">
        <f t="shared" si="55"/>
        <v>0</v>
      </c>
    </row>
    <row r="218" spans="105:110" ht="15.5" x14ac:dyDescent="0.35">
      <c r="DA218" s="232" t="str">
        <f t="shared" si="48"/>
        <v>5</v>
      </c>
      <c r="DB218" s="232" t="str">
        <f t="shared" si="49"/>
        <v>MITCHELL</v>
      </c>
      <c r="DC218" s="232" t="str">
        <f t="shared" si="49"/>
        <v>UUP</v>
      </c>
      <c r="DD218" s="233">
        <f t="shared" si="49"/>
        <v>870</v>
      </c>
      <c r="DE218" s="233">
        <f t="shared" ref="DE218:DF218" si="56">T18</f>
        <v>0</v>
      </c>
      <c r="DF218" s="233">
        <f t="shared" si="56"/>
        <v>1065.29</v>
      </c>
    </row>
    <row r="219" spans="105:110" ht="15.5" x14ac:dyDescent="0.35">
      <c r="DA219" s="232" t="str">
        <f t="shared" si="48"/>
        <v>Excluded</v>
      </c>
      <c r="DB219" s="232" t="str">
        <f t="shared" si="49"/>
        <v>PALMER</v>
      </c>
      <c r="DC219" s="232" t="str">
        <f t="shared" si="49"/>
        <v>UUP</v>
      </c>
      <c r="DD219" s="233">
        <f t="shared" si="49"/>
        <v>625</v>
      </c>
      <c r="DE219" s="233">
        <f t="shared" ref="DE219:DF219" si="57">T19</f>
        <v>-745.4799999999999</v>
      </c>
      <c r="DF219" s="233">
        <f t="shared" si="57"/>
        <v>0</v>
      </c>
    </row>
    <row r="220" spans="105:110" ht="15.5" x14ac:dyDescent="0.35">
      <c r="DA220" s="232" t="str">
        <f t="shared" si="48"/>
        <v>6</v>
      </c>
      <c r="DB220" s="232" t="str">
        <f t="shared" si="49"/>
        <v>PORTER</v>
      </c>
      <c r="DC220" s="232" t="str">
        <f t="shared" si="49"/>
        <v>D.U.P.</v>
      </c>
      <c r="DD220" s="233">
        <f t="shared" si="49"/>
        <v>687</v>
      </c>
      <c r="DE220" s="233">
        <f t="shared" ref="DE220:DF220" si="58">T20</f>
        <v>0</v>
      </c>
      <c r="DF220" s="233">
        <f t="shared" si="58"/>
        <v>937.23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T21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T22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T23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T24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T25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T26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T27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T28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T29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T30</f>
        <v>0</v>
      </c>
      <c r="DF230" s="233">
        <f t="shared" si="69"/>
        <v>0</v>
      </c>
    </row>
    <row r="231" spans="105:110" ht="15.5" x14ac:dyDescent="0.35">
      <c r="DC231" s="234" t="s">
        <v>123</v>
      </c>
      <c r="DD231" s="234"/>
      <c r="DE231" s="233">
        <f t="shared" ref="DE231:DF231" si="70">T31</f>
        <v>0</v>
      </c>
      <c r="DF231" s="233">
        <f t="shared" si="70"/>
        <v>463.99999999999989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 t="shared" ref="DF232" si="71">U32</f>
        <v>6750.52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U34:U36" name="Range1"/>
    <protectedRange sqref="BC10" name="Range4"/>
    <protectedRange sqref="BC13:BC14" name="Range5"/>
    <protectedRange sqref="BF5:BF24" name="Range6"/>
    <protectedRange sqref="BF26" name="Range7"/>
    <protectedRange sqref="BH5:BH24" name="Range21"/>
    <protectedRange sqref="BP8:BP27" name="Range22"/>
    <protectedRange sqref="AQ5" name="Range3_1"/>
  </protectedRanges>
  <mergeCells count="84">
    <mergeCell ref="AO20:AP20"/>
    <mergeCell ref="AJ24:AK24"/>
    <mergeCell ref="AJ25:AK25"/>
    <mergeCell ref="AO24:AP24"/>
    <mergeCell ref="AO25:AP25"/>
    <mergeCell ref="AJ20:AK20"/>
    <mergeCell ref="T8:U8"/>
    <mergeCell ref="V6:W6"/>
    <mergeCell ref="V7:W7"/>
    <mergeCell ref="V8:W8"/>
    <mergeCell ref="F9:G9"/>
    <mergeCell ref="H9:I9"/>
    <mergeCell ref="J9:K9"/>
    <mergeCell ref="L9:M9"/>
    <mergeCell ref="N9:O9"/>
    <mergeCell ref="P9:Q9"/>
    <mergeCell ref="R9:S9"/>
    <mergeCell ref="T9:U9"/>
    <mergeCell ref="P8:Q8"/>
    <mergeCell ref="P7:Q7"/>
    <mergeCell ref="P6:Q6"/>
    <mergeCell ref="R8:S8"/>
    <mergeCell ref="F8:G8"/>
    <mergeCell ref="H8:I8"/>
    <mergeCell ref="J8:K8"/>
    <mergeCell ref="L8:M8"/>
    <mergeCell ref="N8:O8"/>
    <mergeCell ref="J7:K7"/>
    <mergeCell ref="L6:M6"/>
    <mergeCell ref="U4:W4"/>
    <mergeCell ref="Z6:AF7"/>
    <mergeCell ref="E4:F4"/>
    <mergeCell ref="R7:S7"/>
    <mergeCell ref="R6:S6"/>
    <mergeCell ref="AQ9:AR10"/>
    <mergeCell ref="AN13:AN19"/>
    <mergeCell ref="CB2:CE2"/>
    <mergeCell ref="BI3:BK3"/>
    <mergeCell ref="BI2:BK2"/>
    <mergeCell ref="BT3:BZ3"/>
    <mergeCell ref="BP5:BP7"/>
    <mergeCell ref="AQ6:AR7"/>
    <mergeCell ref="AL3:AQ3"/>
    <mergeCell ref="AM13:AM17"/>
    <mergeCell ref="AO13:AO17"/>
    <mergeCell ref="AQ13:AQ17"/>
    <mergeCell ref="AP13:AP17"/>
    <mergeCell ref="AK9:AP10"/>
    <mergeCell ref="AL13:AL17"/>
    <mergeCell ref="K1:L1"/>
    <mergeCell ref="H3:I3"/>
    <mergeCell ref="O4:S4"/>
    <mergeCell ref="O3:S3"/>
    <mergeCell ref="H4:I4"/>
    <mergeCell ref="E3:F3"/>
    <mergeCell ref="O2:S2"/>
    <mergeCell ref="AK6:AP7"/>
    <mergeCell ref="Z3:AF3"/>
    <mergeCell ref="Z4:AF4"/>
    <mergeCell ref="Z2:AF2"/>
    <mergeCell ref="L7:M7"/>
    <mergeCell ref="F6:G6"/>
    <mergeCell ref="H6:I6"/>
    <mergeCell ref="F7:G7"/>
    <mergeCell ref="H7:I7"/>
    <mergeCell ref="N6:O6"/>
    <mergeCell ref="N7:O7"/>
    <mergeCell ref="T6:U6"/>
    <mergeCell ref="T7:U7"/>
    <mergeCell ref="J6:K6"/>
    <mergeCell ref="DE209:DF209"/>
    <mergeCell ref="AZ22:AZ23"/>
    <mergeCell ref="AJ22:AK22"/>
    <mergeCell ref="AJ23:AK23"/>
    <mergeCell ref="AJ21:AK21"/>
    <mergeCell ref="AO21:AP21"/>
    <mergeCell ref="AO22:AP22"/>
    <mergeCell ref="AO23:AP23"/>
    <mergeCell ref="AL28:AQ29"/>
    <mergeCell ref="CB31:CE32"/>
    <mergeCell ref="AL31:AQ32"/>
    <mergeCell ref="BF30:BG32"/>
    <mergeCell ref="BI30:BK31"/>
    <mergeCell ref="BX30:BY32"/>
  </mergeCells>
  <phoneticPr fontId="0" type="noConversion"/>
  <conditionalFormatting sqref="V4:W4">
    <cfRule type="cellIs" dxfId="86" priority="1" stopIfTrue="1" operator="equal">
      <formula>"Totals Correct"</formula>
    </cfRule>
    <cfRule type="cellIs" dxfId="85" priority="2" stopIfTrue="1" operator="equal">
      <formula>"ERROR"</formula>
    </cfRule>
  </conditionalFormatting>
  <conditionalFormatting sqref="U4">
    <cfRule type="cellIs" dxfId="84" priority="3" stopIfTrue="1" operator="equal">
      <formula>"OK TO MOVE TO NEXT STAGE"</formula>
    </cfRule>
    <cfRule type="cellIs" dxfId="83" priority="4" stopIfTrue="1" operator="equal">
      <formula>"DO NOT MOVE TO NEXT STAGE"</formula>
    </cfRule>
  </conditionalFormatting>
  <conditionalFormatting sqref="AL3">
    <cfRule type="cellIs" dxfId="82" priority="5" stopIfTrue="1" operator="notEqual">
      <formula>0</formula>
    </cfRule>
  </conditionalFormatting>
  <conditionalFormatting sqref="BF30:BG31">
    <cfRule type="cellIs" dxfId="81" priority="6" stopIfTrue="1" operator="equal">
      <formula>"NONE"</formula>
    </cfRule>
    <cfRule type="cellIs" dxfId="80" priority="7" stopIfTrue="1" operator="notEqual">
      <formula>"NONE"</formula>
    </cfRule>
  </conditionalFormatting>
  <conditionalFormatting sqref="BX30">
    <cfRule type="cellIs" dxfId="79" priority="8" stopIfTrue="1" operator="equal">
      <formula>"Calculations OK"</formula>
    </cfRule>
    <cfRule type="cellIs" dxfId="78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9'!Y1:AR1" display="BACK to DECISION FORM Stage 9"/>
    <hyperlink ref="O4:S4" location="'Stage 10'!Y1:AR1" display="FORWARD TO STAGE 10"/>
    <hyperlink ref="Z6:AF7" location="'Stage 8'!A1" display="BACK to Overview of STAGE 8"/>
    <hyperlink ref="AL28" location="'Stage 2'!BI1" display="MOVE TO TRANSFER OF SURPLUS VOTES FORM"/>
    <hyperlink ref="AL31" location="'Stage 2'!CC1" display="MOVE TO EXCLUDE CANDIDATE FORM"/>
    <hyperlink ref="AL28:AQ29" location="'Stage 9'!AY1:BK1" display="MOVE TO TRANSFER OF SURPLUS VOTES FORM"/>
    <hyperlink ref="AL31:AQ32" location="'Stage 9'!BN1:CE1" display="MOVE TO EXCLUDE CANDIDATE FORM"/>
    <hyperlink ref="BI3:BK3" location="'Stage 9'!Y1:AR1" display="BACK to DECISION FORM"/>
    <hyperlink ref="BI30:BK31" location="'Stage 9'!A1" display="FORWARD to OVERVIEW OF STAGE 9"/>
    <hyperlink ref="CB31" location="'Stage 2'!A1" display="HOME TO OVERVIEW OF STAGE 2"/>
    <hyperlink ref="CB31:CE32" location="'Stage 9'!A1" display="FORWARD to OVERVIEW OF STAGE 9"/>
    <hyperlink ref="CB2" location="'Stage 2'!AQ5" display="MOVE TO NEXT FORM"/>
    <hyperlink ref="CB2:CE2" location="'Stage 9'!Y1:AR1" display="BACK to DECISION FORM"/>
  </hyperlinks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DF232"/>
  <sheetViews>
    <sheetView showGridLines="0" showZeros="0" topLeftCell="X3" zoomScale="75" workbookViewId="0">
      <selection activeCell="Z6" sqref="Z6:AF7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2.36328125" customWidth="1"/>
    <col min="25" max="25" width="4.4531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54296875" customWidth="1"/>
    <col min="43" max="43" width="11.08984375" customWidth="1"/>
    <col min="44" max="44" width="16.36328125" customWidth="1"/>
    <col min="45" max="45" width="225.453125" customWidth="1"/>
    <col min="50" max="50" width="217.08984375" customWidth="1"/>
    <col min="51" max="51" width="6.363281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9.45312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111</v>
      </c>
      <c r="J1" s="85" t="s">
        <v>37</v>
      </c>
      <c r="K1" s="319">
        <f>'Basic Input'!C2</f>
        <v>45064</v>
      </c>
      <c r="L1" s="319"/>
      <c r="Z1" s="10" t="s">
        <v>266</v>
      </c>
      <c r="AQ1" s="33"/>
      <c r="AZ1" s="10" t="s">
        <v>126</v>
      </c>
      <c r="BE1" s="34" t="str">
        <f>IF(AT5="T","COMPLETE THIS FORM","YOU HAVE NOT SELECTED TO COMPLETE THIS FORM")</f>
        <v>YOU HAVE NOT SELECTED TO COMPLETE THIS FORM</v>
      </c>
      <c r="BR1" s="10" t="s">
        <v>127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267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I2" s="313"/>
      <c r="BJ2" s="313"/>
      <c r="BK2" s="313"/>
      <c r="BR2" s="36" t="s">
        <v>111</v>
      </c>
      <c r="CB2" s="345" t="s">
        <v>131</v>
      </c>
      <c r="CC2" s="346"/>
      <c r="CD2" s="346"/>
      <c r="CE2" s="347"/>
    </row>
    <row r="3" spans="1:105" ht="18.5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23"/>
      <c r="P3" s="323"/>
      <c r="Q3" s="323"/>
      <c r="R3" s="323"/>
      <c r="S3" s="323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0</v>
      </c>
      <c r="AJ3" s="163"/>
      <c r="AK3" s="163"/>
      <c r="AL3" s="352">
        <f>IF(AQ5="n","MOVE TO EXCLUDE CANDIDATE FORM",IF(AQ5="y","MOVE TO TRANSFER OF SURPLUS VOTES FORM",0))</f>
        <v>0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L3" s="114"/>
      <c r="BR3" s="81" t="s">
        <v>133</v>
      </c>
      <c r="BS3" s="82"/>
      <c r="BT3" s="348"/>
      <c r="BU3" s="349"/>
      <c r="BV3" s="349"/>
      <c r="BW3" s="349"/>
      <c r="BX3" s="349"/>
      <c r="BY3" s="349"/>
      <c r="BZ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268</v>
      </c>
      <c r="P4" s="346"/>
      <c r="Q4" s="346"/>
      <c r="R4" s="346"/>
      <c r="S4" s="347"/>
      <c r="U4" s="311" t="str">
        <f>IF(W33="ERROR","DO NOT MOVE TO NEXT STAGE","OK TO MOVE TO NEXT STAGE")</f>
        <v>DO NOT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IF(C11=0,0,IF(U11=0,"Excluded",0))</f>
        <v>0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27" t="s">
        <v>269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Exclude</v>
      </c>
      <c r="AR6" s="302"/>
      <c r="AS6" s="181"/>
      <c r="AT6" s="91"/>
      <c r="AU6" s="91"/>
      <c r="AW6" s="33"/>
      <c r="AX6" s="33"/>
      <c r="AZ6" s="36" t="s">
        <v>111</v>
      </c>
      <c r="BA6" s="245"/>
      <c r="BE6" s="61" t="str">
        <f>'Verification of Boxes'!J11</f>
        <v>FLYNN</v>
      </c>
      <c r="BF6" s="64"/>
      <c r="BG6" s="100">
        <f t="shared" si="0"/>
        <v>0</v>
      </c>
      <c r="BH6" s="150"/>
      <c r="BI6" s="5" t="str">
        <f t="shared" ref="BI6:BI24" si="1">IF(A12&lt;&gt;0,A12,0)</f>
        <v>Excluded</v>
      </c>
      <c r="BJ6" s="5" t="str">
        <f t="shared" ref="BJ6:BJ24" si="2">IF(C12=0,0,IF(U12=0,"Excluded",0))</f>
        <v>Excluded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Exclude</v>
      </c>
      <c r="U7" s="362"/>
      <c r="V7" s="361">
        <f>IF($AT5=0,0,IF($AT5="T",$AZ7,$BR4))</f>
        <v>0</v>
      </c>
      <c r="W7" s="362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EWING</v>
      </c>
      <c r="G8" s="364"/>
      <c r="H8" s="359" t="str">
        <f>'Stage 3'!H8:I8</f>
        <v xml:space="preserve"> MCEVOY</v>
      </c>
      <c r="I8" s="360"/>
      <c r="J8" s="359" t="str">
        <f>'Stage 4'!J8:K8</f>
        <v>GREHAN</v>
      </c>
      <c r="K8" s="360"/>
      <c r="L8" s="359" t="str">
        <f>'Stage 5'!L8:M8</f>
        <v>GIVAN</v>
      </c>
      <c r="M8" s="360"/>
      <c r="N8" s="359" t="str">
        <f>'Stage 6'!N8:O8</f>
        <v>FRENCH</v>
      </c>
      <c r="O8" s="360"/>
      <c r="P8" s="359" t="str">
        <f>'Stage 7'!P8:Q8</f>
        <v>FLYNN</v>
      </c>
      <c r="Q8" s="360"/>
      <c r="R8" s="359" t="str">
        <f>'Stage 8'!R8:S8</f>
        <v>KENNEDY</v>
      </c>
      <c r="S8" s="360"/>
      <c r="T8" s="359" t="str">
        <f>'Stage 9'!T8:U8</f>
        <v>PALMER</v>
      </c>
      <c r="U8" s="360"/>
      <c r="V8" s="359">
        <f>IF($V7="Transfer",$BA8,$BT3)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GIVAN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EWING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115" t="s">
        <v>112</v>
      </c>
      <c r="W9" s="116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Exclude lowest candidate(s)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 t="str">
        <f t="shared" ref="BN9:BN27" si="11">IF(A12&lt;&gt;0,A12,0)</f>
        <v>Excluded</v>
      </c>
      <c r="BO9" s="7">
        <f t="shared" si="3"/>
        <v>0</v>
      </c>
      <c r="BP9" s="66"/>
      <c r="BR9" s="9" t="str">
        <f>'Verification of Boxes'!J11</f>
        <v>FLYNN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113</v>
      </c>
      <c r="B10" s="18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KENNEDY</v>
      </c>
      <c r="BF10" s="64"/>
      <c r="BG10" s="100">
        <f t="shared" si="0"/>
        <v>0</v>
      </c>
      <c r="BH10" s="150"/>
      <c r="BI10" s="5" t="str">
        <f t="shared" si="1"/>
        <v>Elected</v>
      </c>
      <c r="BJ10" s="5">
        <f t="shared" si="2"/>
        <v>0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FRENCH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9'!A11&lt;&gt;0,'Stage 9'!A11,IF(W11&gt;=$M$3,"Elected",IF(BP8&lt;&gt;0,"Excluded",0)))</f>
        <v>Elected</v>
      </c>
      <c r="B11" s="235">
        <f>'Stage 9'!B11</f>
        <v>1</v>
      </c>
      <c r="C11" s="30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>'Stage 3'!H11</f>
        <v>0</v>
      </c>
      <c r="I11" s="135">
        <f>'Stage 3'!I11</f>
        <v>1071</v>
      </c>
      <c r="J11" s="71">
        <f>'Stage 4'!J11</f>
        <v>0</v>
      </c>
      <c r="K11" s="135">
        <f>'Stage 4'!K11</f>
        <v>1071</v>
      </c>
      <c r="L11" s="71">
        <f>'Stage 5'!L11</f>
        <v>0</v>
      </c>
      <c r="M11" s="135">
        <f>'Stage 5'!M11</f>
        <v>1071</v>
      </c>
      <c r="N11" s="71">
        <f>'Stage 6'!N11</f>
        <v>0</v>
      </c>
      <c r="O11" s="135">
        <f>'Stage 6'!O11</f>
        <v>1071</v>
      </c>
      <c r="P11" s="71">
        <f>'Stage 7'!P11</f>
        <v>0</v>
      </c>
      <c r="Q11" s="135">
        <f>'Stage 7'!Q11</f>
        <v>1071</v>
      </c>
      <c r="R11" s="71">
        <f>'Stage 8'!R11</f>
        <v>0</v>
      </c>
      <c r="S11" s="135">
        <f>'Stage 8'!S11</f>
        <v>1071</v>
      </c>
      <c r="T11" s="71">
        <f>'Stage 9'!T11</f>
        <v>0</v>
      </c>
      <c r="U11" s="135">
        <f>'Stage 9'!U11</f>
        <v>1071</v>
      </c>
      <c r="V11" s="71">
        <f t="shared" ref="V11:V30" si="12">IF($C11&lt;&gt;0,$BK49,0)</f>
        <v>0</v>
      </c>
      <c r="W11" s="39">
        <f t="shared" ref="W11:W31" si="13">IF(V$8=0,0,U11+V11)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>IF('Stage 9'!A12&lt;&gt;0,'Stage 9'!A12,IF(W12&gt;=$M$3,"Elected",IF(BP9&lt;&gt;0,"Excluded",0)))</f>
        <v>Excluded</v>
      </c>
      <c r="B12" s="235">
        <f>'Stage 9'!B12</f>
        <v>0</v>
      </c>
      <c r="C12" s="31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>'Stage 3'!H12</f>
        <v>1</v>
      </c>
      <c r="I12" s="135">
        <f>'Stage 3'!I12</f>
        <v>494.42</v>
      </c>
      <c r="J12" s="71">
        <f>'Stage 4'!J12</f>
        <v>0.48</v>
      </c>
      <c r="K12" s="135">
        <f>'Stage 4'!K12</f>
        <v>494.90000000000003</v>
      </c>
      <c r="L12" s="71">
        <f>'Stage 5'!L12</f>
        <v>0.04</v>
      </c>
      <c r="M12" s="135">
        <f>'Stage 5'!M12</f>
        <v>494.94000000000005</v>
      </c>
      <c r="N12" s="71">
        <f>'Stage 6'!N12</f>
        <v>176.15</v>
      </c>
      <c r="O12" s="135">
        <f>'Stage 6'!O12</f>
        <v>671.09</v>
      </c>
      <c r="P12" s="71">
        <f>'Stage 7'!P12</f>
        <v>-671.09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 t="shared" si="12"/>
        <v>0</v>
      </c>
      <c r="W12" s="39">
        <f t="shared" si="13"/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MITCHELL</v>
      </c>
      <c r="BF12" s="64"/>
      <c r="BG12" s="100">
        <f t="shared" si="0"/>
        <v>0</v>
      </c>
      <c r="BH12" s="150"/>
      <c r="BI12" s="5">
        <f t="shared" si="1"/>
        <v>0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9'!A13&lt;&gt;0,'Stage 9'!A13,IF(W13&gt;=$M$3,"Elected",IF(BP10&lt;&gt;0,"Excluded",0)))</f>
        <v>Excluded</v>
      </c>
      <c r="B13" s="235">
        <f>'Stage 9'!B13</f>
        <v>0</v>
      </c>
      <c r="C13" s="31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>'Stage 3'!H13</f>
        <v>4</v>
      </c>
      <c r="I13" s="135">
        <f>'Stage 3'!I13</f>
        <v>476.42</v>
      </c>
      <c r="J13" s="71">
        <f>'Stage 4'!J13</f>
        <v>0.89999999999999991</v>
      </c>
      <c r="K13" s="135">
        <f>'Stage 4'!K13</f>
        <v>477.32</v>
      </c>
      <c r="L13" s="71">
        <f>'Stage 5'!L13</f>
        <v>0.02</v>
      </c>
      <c r="M13" s="135">
        <f>'Stage 5'!M13</f>
        <v>477.34</v>
      </c>
      <c r="N13" s="71">
        <f>'Stage 6'!N13</f>
        <v>-477.34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 t="shared" si="12"/>
        <v>0</v>
      </c>
      <c r="W13" s="39">
        <f t="shared" si="13"/>
        <v>0</v>
      </c>
      <c r="Z13" s="15" t="s">
        <v>115</v>
      </c>
      <c r="AA13" s="124" t="s">
        <v>168</v>
      </c>
      <c r="AB13" s="16"/>
      <c r="AC13" s="16" t="s">
        <v>169</v>
      </c>
      <c r="AD13" s="18"/>
      <c r="AE13" s="16" t="s">
        <v>170</v>
      </c>
      <c r="AF13" s="18" t="s">
        <v>171</v>
      </c>
      <c r="AG13" s="14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/>
      <c r="BE13" s="61" t="str">
        <f>'Verification of Boxes'!J18</f>
        <v>PALMER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Elected</v>
      </c>
      <c r="BO13" s="7" t="str">
        <f t="shared" si="3"/>
        <v>Elected</v>
      </c>
      <c r="BP13" s="66"/>
      <c r="BR13" s="9" t="str">
        <f>'Verification of Boxes'!J15</f>
        <v>KENNEDY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9'!A14&lt;&gt;0,'Stage 9'!A14,IF(W14&gt;=$M$3,"Elected",IF(BP11&lt;&gt;0,"Excluded",0)))</f>
        <v>Elected</v>
      </c>
      <c r="B14" s="235">
        <f>'Stage 9'!B14</f>
        <v>3</v>
      </c>
      <c r="C14" s="31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>'Stage 3'!H14</f>
        <v>0</v>
      </c>
      <c r="I14" s="135">
        <f>'Stage 3'!I14</f>
        <v>1089.5999999999999</v>
      </c>
      <c r="J14" s="71">
        <f>'Stage 4'!J14</f>
        <v>0</v>
      </c>
      <c r="K14" s="135">
        <f>'Stage 4'!K14</f>
        <v>1089.5999999999999</v>
      </c>
      <c r="L14" s="71">
        <f>'Stage 5'!L14</f>
        <v>-18.599999999999909</v>
      </c>
      <c r="M14" s="135">
        <f>'Stage 5'!M14</f>
        <v>1071</v>
      </c>
      <c r="N14" s="71">
        <f>'Stage 6'!N14</f>
        <v>0</v>
      </c>
      <c r="O14" s="135">
        <f>'Stage 6'!O14</f>
        <v>1071</v>
      </c>
      <c r="P14" s="71">
        <f>'Stage 7'!P14</f>
        <v>0</v>
      </c>
      <c r="Q14" s="135">
        <f>'Stage 7'!Q14</f>
        <v>1071</v>
      </c>
      <c r="R14" s="71">
        <f>'Stage 8'!R14</f>
        <v>0</v>
      </c>
      <c r="S14" s="135">
        <f>'Stage 8'!S14</f>
        <v>1071</v>
      </c>
      <c r="T14" s="71">
        <f>'Stage 9'!T14</f>
        <v>0</v>
      </c>
      <c r="U14" s="135">
        <f>'Stage 9'!U14</f>
        <v>1071</v>
      </c>
      <c r="V14" s="71">
        <f t="shared" si="12"/>
        <v>0</v>
      </c>
      <c r="W14" s="39">
        <f t="shared" si="13"/>
        <v>0</v>
      </c>
      <c r="Z14" s="92" t="str">
        <f>'Verification of Boxes'!J10</f>
        <v>EWING</v>
      </c>
      <c r="AA14" s="93">
        <f>U11</f>
        <v>1071</v>
      </c>
      <c r="AB14" s="88"/>
      <c r="AC14" s="99">
        <f t="shared" ref="AC14:AC33" si="14">IF(AA14&gt;0,AA14-AG$4,0)</f>
        <v>0</v>
      </c>
      <c r="AD14" s="123"/>
      <c r="AE14" s="88" t="str">
        <f>IF(Z14=0,0,IF(AA14&gt;=AG$4,"elected",IF(AA14=0,"excluded","continuing")))</f>
        <v>elected</v>
      </c>
      <c r="AF14" s="88">
        <f t="shared" ref="AF14:AF33" si="15">IF(AE14="elected",AC14,0)</f>
        <v>0</v>
      </c>
      <c r="AG14" s="94">
        <f t="shared" ref="AG14:AG33" si="16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/>
      <c r="BE14" s="61" t="str">
        <f>'Verification of Boxes'!J19</f>
        <v>PORTER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9'!A15&lt;&gt;0,'Stage 9'!A15,IF(W15&gt;=$M$3,"Elected",IF(BP12&lt;&gt;0,"Excluded",0)))</f>
        <v>Elected</v>
      </c>
      <c r="B15" s="235">
        <f>'Stage 9'!B15</f>
        <v>2</v>
      </c>
      <c r="C15" s="31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>'Stage 3'!H15</f>
        <v>0</v>
      </c>
      <c r="I15" s="135">
        <f>'Stage 3'!I15</f>
        <v>1111</v>
      </c>
      <c r="J15" s="71">
        <f>'Stage 4'!J15</f>
        <v>-40</v>
      </c>
      <c r="K15" s="135">
        <f>'Stage 4'!K15</f>
        <v>1071</v>
      </c>
      <c r="L15" s="71">
        <f>'Stage 5'!L15</f>
        <v>0</v>
      </c>
      <c r="M15" s="135">
        <f>'Stage 5'!M15</f>
        <v>1071</v>
      </c>
      <c r="N15" s="71">
        <f>'Stage 6'!N15</f>
        <v>0</v>
      </c>
      <c r="O15" s="135">
        <f>'Stage 6'!O15</f>
        <v>1071</v>
      </c>
      <c r="P15" s="71">
        <f>'Stage 7'!P15</f>
        <v>0</v>
      </c>
      <c r="Q15" s="135">
        <f>'Stage 7'!Q15</f>
        <v>1071</v>
      </c>
      <c r="R15" s="71">
        <f>'Stage 8'!R15</f>
        <v>0</v>
      </c>
      <c r="S15" s="135">
        <f>'Stage 8'!S15</f>
        <v>1071</v>
      </c>
      <c r="T15" s="71">
        <f>'Stage 9'!T15</f>
        <v>0</v>
      </c>
      <c r="U15" s="135">
        <f>'Stage 9'!U15</f>
        <v>1071</v>
      </c>
      <c r="V15" s="71">
        <f t="shared" si="12"/>
        <v>0</v>
      </c>
      <c r="W15" s="39">
        <f t="shared" si="13"/>
        <v>0</v>
      </c>
      <c r="Z15" s="95" t="str">
        <f>'Verification of Boxes'!J11</f>
        <v>FLYNN</v>
      </c>
      <c r="AA15" s="37">
        <f>U12</f>
        <v>0</v>
      </c>
      <c r="AB15" s="5"/>
      <c r="AC15" s="100">
        <f t="shared" si="14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5"/>
        <v>0</v>
      </c>
      <c r="AG15" s="96">
        <f t="shared" si="16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1065.29</v>
      </c>
      <c r="BP15" s="66"/>
      <c r="BR15" s="9" t="str">
        <f>'Verification of Boxes'!J17</f>
        <v>MITCHELL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>IF('Stage 9'!A16&lt;&gt;0,'Stage 9'!A16,IF(W16&gt;=$M$3,"Elected",IF(BP13&lt;&gt;0,"Excluded",0)))</f>
        <v>Elected</v>
      </c>
      <c r="B16" s="235">
        <f>'Stage 9'!B16</f>
        <v>4</v>
      </c>
      <c r="C16" s="31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>'Stage 3'!H16</f>
        <v>3.06</v>
      </c>
      <c r="I16" s="135">
        <f>'Stage 3'!I16</f>
        <v>677.3</v>
      </c>
      <c r="J16" s="71">
        <f>'Stage 4'!J16</f>
        <v>30.029999999999998</v>
      </c>
      <c r="K16" s="135">
        <f>'Stage 4'!K16</f>
        <v>707.32999999999993</v>
      </c>
      <c r="L16" s="71">
        <f>'Stage 5'!L16</f>
        <v>0.22</v>
      </c>
      <c r="M16" s="135">
        <f>'Stage 5'!M16</f>
        <v>707.55</v>
      </c>
      <c r="N16" s="71">
        <f>'Stage 6'!N16</f>
        <v>241.72</v>
      </c>
      <c r="O16" s="135">
        <f>'Stage 6'!O16</f>
        <v>949.27</v>
      </c>
      <c r="P16" s="71">
        <f>'Stage 7'!P16</f>
        <v>375</v>
      </c>
      <c r="Q16" s="135">
        <f>'Stage 7'!Q16</f>
        <v>1324.27</v>
      </c>
      <c r="R16" s="71">
        <f>'Stage 8'!R16</f>
        <v>-253.26999999999998</v>
      </c>
      <c r="S16" s="135">
        <f>'Stage 8'!S16</f>
        <v>1071</v>
      </c>
      <c r="T16" s="71">
        <f>'Stage 9'!T16</f>
        <v>0</v>
      </c>
      <c r="U16" s="135">
        <f>'Stage 9'!U16</f>
        <v>1071</v>
      </c>
      <c r="V16" s="71">
        <f t="shared" si="12"/>
        <v>0</v>
      </c>
      <c r="W16" s="39">
        <f t="shared" si="13"/>
        <v>0</v>
      </c>
      <c r="Z16" s="95" t="str">
        <f>'Verification of Boxes'!J12</f>
        <v>FRENCH</v>
      </c>
      <c r="AA16" s="37">
        <f t="shared" ref="AA16:AA33" si="18">U13</f>
        <v>0</v>
      </c>
      <c r="AB16" s="5"/>
      <c r="AC16" s="100">
        <f t="shared" si="14"/>
        <v>0</v>
      </c>
      <c r="AD16" s="110"/>
      <c r="AE16" s="5" t="str">
        <f t="shared" si="17"/>
        <v>excluded</v>
      </c>
      <c r="AF16" s="5">
        <f t="shared" si="15"/>
        <v>0</v>
      </c>
      <c r="AG16" s="96">
        <f t="shared" si="16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PALMER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9'!A17&lt;&gt;0,'Stage 9'!A17,IF(W17&gt;=$M$3,"Elected",IF(BP14&lt;&gt;0,"Excluded",0)))</f>
        <v>Excluded</v>
      </c>
      <c r="B17" s="235">
        <f>'Stage 9'!B17</f>
        <v>0</v>
      </c>
      <c r="C17" s="31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>'Stage 3'!H17</f>
        <v>-388.44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 t="shared" si="12"/>
        <v>0</v>
      </c>
      <c r="W17" s="39">
        <f t="shared" si="13"/>
        <v>0</v>
      </c>
      <c r="Z17" s="95" t="str">
        <f>'Verification of Boxes'!J13</f>
        <v>GIVAN</v>
      </c>
      <c r="AA17" s="37">
        <f t="shared" si="18"/>
        <v>1071</v>
      </c>
      <c r="AB17" s="5"/>
      <c r="AC17" s="100">
        <f t="shared" si="14"/>
        <v>0</v>
      </c>
      <c r="AD17" s="110"/>
      <c r="AE17" s="5" t="str">
        <f t="shared" si="17"/>
        <v>elected</v>
      </c>
      <c r="AF17" s="5">
        <f t="shared" si="15"/>
        <v>0</v>
      </c>
      <c r="AG17" s="96">
        <f t="shared" si="16"/>
        <v>0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937.23</v>
      </c>
      <c r="BP17" s="66"/>
      <c r="BR17" s="9" t="str">
        <f>'Verification of Boxes'!J19</f>
        <v>PORTER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>IF('Stage 9'!A18&lt;&gt;0,'Stage 9'!A18,IF(W18&gt;=$M$3,"Elected",IF(BP15&lt;&gt;0,"Excluded",0)))</f>
        <v>0</v>
      </c>
      <c r="B18" s="235">
        <f>'Stage 9'!B18</f>
        <v>5</v>
      </c>
      <c r="C18" s="31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>'Stage 3'!H18</f>
        <v>91.42</v>
      </c>
      <c r="I18" s="135">
        <f>'Stage 3'!I18</f>
        <v>962.86</v>
      </c>
      <c r="J18" s="71">
        <f>'Stage 4'!J18</f>
        <v>0.72</v>
      </c>
      <c r="K18" s="135">
        <f>'Stage 4'!K18</f>
        <v>963.58</v>
      </c>
      <c r="L18" s="71">
        <f>'Stage 5'!L18</f>
        <v>1.54</v>
      </c>
      <c r="M18" s="135">
        <f>'Stage 5'!M18</f>
        <v>965.12</v>
      </c>
      <c r="N18" s="71">
        <f>'Stage 6'!N18</f>
        <v>6</v>
      </c>
      <c r="O18" s="135">
        <f>'Stage 6'!O18</f>
        <v>971.12</v>
      </c>
      <c r="P18" s="71">
        <f>'Stage 7'!P18</f>
        <v>36.170000000000009</v>
      </c>
      <c r="Q18" s="135">
        <f>'Stage 7'!Q18</f>
        <v>1007.29</v>
      </c>
      <c r="R18" s="71">
        <f>'Stage 8'!R18</f>
        <v>58</v>
      </c>
      <c r="S18" s="135">
        <f>'Stage 8'!S18</f>
        <v>1065.29</v>
      </c>
      <c r="T18" s="71">
        <f>'Stage 9'!T18</f>
        <v>0</v>
      </c>
      <c r="U18" s="135">
        <f>'Stage 9'!U18</f>
        <v>1065.29</v>
      </c>
      <c r="V18" s="71">
        <f t="shared" si="12"/>
        <v>0</v>
      </c>
      <c r="W18" s="39">
        <f t="shared" si="13"/>
        <v>0</v>
      </c>
      <c r="Z18" s="95" t="str">
        <f>'Verification of Boxes'!J14</f>
        <v>GREHAN</v>
      </c>
      <c r="AA18" s="37">
        <f t="shared" si="18"/>
        <v>1071</v>
      </c>
      <c r="AB18" s="5"/>
      <c r="AC18" s="100">
        <f t="shared" si="14"/>
        <v>0</v>
      </c>
      <c r="AD18" s="110"/>
      <c r="AE18" s="5" t="str">
        <f t="shared" si="17"/>
        <v>elected</v>
      </c>
      <c r="AF18" s="5">
        <f t="shared" si="15"/>
        <v>0</v>
      </c>
      <c r="AG18" s="96">
        <f t="shared" si="16"/>
        <v>0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>IF('Stage 9'!A19&lt;&gt;0,'Stage 9'!A19,IF(W19&gt;=$M$3,"Elected",IF(BP16&lt;&gt;0,"Excluded",0)))</f>
        <v>Excluded</v>
      </c>
      <c r="B19" s="235">
        <f>'Stage 9'!B19</f>
        <v>0</v>
      </c>
      <c r="C19" s="31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>'Stage 3'!H19</f>
        <v>64.48</v>
      </c>
      <c r="I19" s="135">
        <f>'Stage 3'!I19</f>
        <v>692.9</v>
      </c>
      <c r="J19" s="71">
        <f>'Stage 4'!J19</f>
        <v>0.69</v>
      </c>
      <c r="K19" s="135">
        <f>'Stage 4'!K19</f>
        <v>693.59</v>
      </c>
      <c r="L19" s="71">
        <f>'Stage 5'!L19</f>
        <v>0.68</v>
      </c>
      <c r="M19" s="135">
        <f>'Stage 5'!M19</f>
        <v>694.27</v>
      </c>
      <c r="N19" s="71">
        <f>'Stage 6'!N19</f>
        <v>12.15</v>
      </c>
      <c r="O19" s="135">
        <f>'Stage 6'!O19</f>
        <v>706.42</v>
      </c>
      <c r="P19" s="71">
        <f>'Stage 7'!P19</f>
        <v>21.06</v>
      </c>
      <c r="Q19" s="135">
        <f>'Stage 7'!Q19</f>
        <v>727.4799999999999</v>
      </c>
      <c r="R19" s="71">
        <f>'Stage 8'!R19</f>
        <v>18</v>
      </c>
      <c r="S19" s="135">
        <f>'Stage 8'!S19</f>
        <v>745.4799999999999</v>
      </c>
      <c r="T19" s="71">
        <f>'Stage 9'!T19</f>
        <v>-745.4799999999999</v>
      </c>
      <c r="U19" s="135">
        <f>'Stage 9'!U19</f>
        <v>0</v>
      </c>
      <c r="V19" s="71">
        <f t="shared" si="12"/>
        <v>0</v>
      </c>
      <c r="W19" s="39">
        <f t="shared" si="13"/>
        <v>0</v>
      </c>
      <c r="Z19" s="95" t="str">
        <f>'Verification of Boxes'!J15</f>
        <v>KENNEDY</v>
      </c>
      <c r="AA19" s="37">
        <f t="shared" si="18"/>
        <v>1071</v>
      </c>
      <c r="AB19" s="5"/>
      <c r="AC19" s="100">
        <f t="shared" si="14"/>
        <v>0</v>
      </c>
      <c r="AD19" s="110"/>
      <c r="AE19" s="5" t="str">
        <f t="shared" si="17"/>
        <v>elected</v>
      </c>
      <c r="AF19" s="5">
        <f t="shared" si="15"/>
        <v>0</v>
      </c>
      <c r="AG19" s="96">
        <f t="shared" si="16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9'!A20&lt;&gt;0,'Stage 9'!A20,IF(W20&gt;=$M$3,"Elected",IF(BP17&lt;&gt;0,"Excluded",0)))</f>
        <v>0</v>
      </c>
      <c r="B20" s="235">
        <f>'Stage 9'!B20</f>
        <v>6</v>
      </c>
      <c r="C20" s="31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>'Stage 3'!H20</f>
        <v>204.42</v>
      </c>
      <c r="I20" s="135">
        <f>'Stage 3'!I20</f>
        <v>900.42</v>
      </c>
      <c r="J20" s="71">
        <f>'Stage 4'!J20</f>
        <v>0.39</v>
      </c>
      <c r="K20" s="135">
        <f>'Stage 4'!K20</f>
        <v>900.81</v>
      </c>
      <c r="L20" s="71">
        <f>'Stage 5'!L20</f>
        <v>14.34</v>
      </c>
      <c r="M20" s="135">
        <f>'Stage 5'!M20</f>
        <v>915.15</v>
      </c>
      <c r="N20" s="71">
        <f>'Stage 6'!N20</f>
        <v>6</v>
      </c>
      <c r="O20" s="135">
        <f>'Stage 6'!O20</f>
        <v>921.15</v>
      </c>
      <c r="P20" s="71">
        <f>'Stage 7'!P20</f>
        <v>10.08</v>
      </c>
      <c r="Q20" s="135">
        <f>'Stage 7'!Q20</f>
        <v>931.23</v>
      </c>
      <c r="R20" s="71">
        <f>'Stage 8'!R20</f>
        <v>6</v>
      </c>
      <c r="S20" s="135">
        <f>'Stage 8'!S20</f>
        <v>937.23</v>
      </c>
      <c r="T20" s="71">
        <f>'Stage 9'!T20</f>
        <v>0</v>
      </c>
      <c r="U20" s="135">
        <f>'Stage 9'!U20</f>
        <v>937.23</v>
      </c>
      <c r="V20" s="71">
        <f t="shared" si="12"/>
        <v>0</v>
      </c>
      <c r="W20" s="39">
        <f t="shared" si="13"/>
        <v>0</v>
      </c>
      <c r="Z20" s="95" t="str">
        <f>'Verification of Boxes'!J16</f>
        <v>MCEVOY</v>
      </c>
      <c r="AA20" s="37">
        <f t="shared" si="18"/>
        <v>0</v>
      </c>
      <c r="AB20" s="5"/>
      <c r="AC20" s="100">
        <f t="shared" si="14"/>
        <v>0</v>
      </c>
      <c r="AD20" s="110"/>
      <c r="AE20" s="5" t="str">
        <f t="shared" si="17"/>
        <v>excluded</v>
      </c>
      <c r="AF20" s="5">
        <f t="shared" si="15"/>
        <v>0</v>
      </c>
      <c r="AG20" s="96">
        <f t="shared" si="16"/>
        <v>0</v>
      </c>
      <c r="AJ20" s="339" t="s">
        <v>184</v>
      </c>
      <c r="AK20" s="340"/>
      <c r="AL20" s="142">
        <f>AL46</f>
        <v>937.23</v>
      </c>
      <c r="AM20" s="118"/>
      <c r="AN20" s="142">
        <f>AL20+AG2</f>
        <v>937.23</v>
      </c>
      <c r="AO20" s="334" t="str">
        <f>IF(AN20&gt;AG4,0,IF(AN20&lt;AL21,"Exclude lowest candidate",0))</f>
        <v>Exclude lowest candidate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9'!A21&lt;&gt;0,'Stage 9'!A21,IF(W21&gt;=$M$3,"Elected",IF(BP18&lt;&gt;0,"Excluded",0)))</f>
        <v>0</v>
      </c>
      <c r="B21" s="235">
        <f>'Stage 9'!B21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 t="shared" si="12"/>
        <v>0</v>
      </c>
      <c r="W21" s="39">
        <f t="shared" si="13"/>
        <v>0</v>
      </c>
      <c r="Z21" s="95" t="str">
        <f>'Verification of Boxes'!J17</f>
        <v>MITCHELL</v>
      </c>
      <c r="AA21" s="37">
        <f t="shared" si="18"/>
        <v>1065.29</v>
      </c>
      <c r="AB21" s="5"/>
      <c r="AC21" s="100">
        <f t="shared" si="14"/>
        <v>-5.7100000000000364</v>
      </c>
      <c r="AD21" s="110"/>
      <c r="AE21" s="5" t="str">
        <f t="shared" si="17"/>
        <v>continuing</v>
      </c>
      <c r="AF21" s="5">
        <f t="shared" si="15"/>
        <v>0</v>
      </c>
      <c r="AG21" s="96">
        <f t="shared" si="16"/>
        <v>0</v>
      </c>
      <c r="AJ21" s="341" t="s">
        <v>185</v>
      </c>
      <c r="AK21" s="293"/>
      <c r="AL21" s="37">
        <f>IF(AL20=1000000,0,AN46)</f>
        <v>1065.29</v>
      </c>
      <c r="AM21" s="5">
        <f>AL21-AL20</f>
        <v>128.05999999999995</v>
      </c>
      <c r="AN21" s="5">
        <f>IF(AL21=1000000,0,IF(AN20=0,0,AN20+AL21))</f>
        <v>2002.52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9'!A22&lt;&gt;0,'Stage 9'!A22,IF(W22&gt;=$M$3,"Elected",IF(BP19&lt;&gt;0,"Excluded",0)))</f>
        <v>0</v>
      </c>
      <c r="B22" s="235">
        <f>'Stage 9'!B22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 t="shared" si="12"/>
        <v>0</v>
      </c>
      <c r="W22" s="39">
        <f t="shared" si="13"/>
        <v>0</v>
      </c>
      <c r="Z22" s="95" t="str">
        <f>'Verification of Boxes'!J18</f>
        <v>PALMER</v>
      </c>
      <c r="AA22" s="37">
        <f t="shared" si="18"/>
        <v>0</v>
      </c>
      <c r="AB22" s="5"/>
      <c r="AC22" s="100">
        <f t="shared" si="14"/>
        <v>0</v>
      </c>
      <c r="AD22" s="110"/>
      <c r="AE22" s="5" t="str">
        <f t="shared" si="17"/>
        <v>excluded</v>
      </c>
      <c r="AF22" s="5">
        <f t="shared" si="15"/>
        <v>0</v>
      </c>
      <c r="AG22" s="96">
        <f t="shared" si="16"/>
        <v>0</v>
      </c>
      <c r="AJ22" s="341" t="s">
        <v>185</v>
      </c>
      <c r="AK22" s="293"/>
      <c r="AL22" s="37">
        <f>IF(AL21=1000000,0,AP46)</f>
        <v>1071</v>
      </c>
      <c r="AM22" s="5">
        <f>IF(AL22=1000000,0,IF(AM21=0,0,AL22-AL21))</f>
        <v>5.7100000000000364</v>
      </c>
      <c r="AN22" s="5">
        <f>IF(AL22=1000000,0,IF(AN21=0,0,AN21+AL22))</f>
        <v>3073.52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9'!A23&lt;&gt;0,'Stage 9'!A23,IF(W23&gt;=$M$3,"Elected",IF(BP20&lt;&gt;0,"Excluded",0)))</f>
        <v>0</v>
      </c>
      <c r="B23" s="235">
        <f>'Stage 9'!B23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 t="shared" si="12"/>
        <v>0</v>
      </c>
      <c r="W23" s="39">
        <f t="shared" si="13"/>
        <v>0</v>
      </c>
      <c r="Z23" s="95" t="str">
        <f>'Verification of Boxes'!J19</f>
        <v>PORTER</v>
      </c>
      <c r="AA23" s="37">
        <f t="shared" si="18"/>
        <v>937.23</v>
      </c>
      <c r="AB23" s="5"/>
      <c r="AC23" s="100">
        <f t="shared" si="14"/>
        <v>-133.76999999999998</v>
      </c>
      <c r="AD23" s="110"/>
      <c r="AE23" s="5" t="str">
        <f t="shared" si="17"/>
        <v>continuing</v>
      </c>
      <c r="AF23" s="5">
        <f t="shared" si="15"/>
        <v>0</v>
      </c>
      <c r="AG23" s="96">
        <f t="shared" si="16"/>
        <v>0</v>
      </c>
      <c r="AJ23" s="341" t="s">
        <v>185</v>
      </c>
      <c r="AK23" s="293"/>
      <c r="AL23" s="37">
        <f>IF(AL22=1000000,0,AR46)</f>
        <v>1000000</v>
      </c>
      <c r="AM23" s="5">
        <f>IF(AL23=1000000,0,IF(AM22=0,0,AL23-AL22))</f>
        <v>0</v>
      </c>
      <c r="AN23" s="5">
        <f>IF(AL23=1000000,0,IF(AN22=0,0,AN22+AL23))</f>
        <v>0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9'!A24&lt;&gt;0,'Stage 9'!A24,IF(W24&gt;=$M$3,"Elected",IF(BP21&lt;&gt;0,"Excluded",0)))</f>
        <v>0</v>
      </c>
      <c r="B24" s="235">
        <f>'Stage 9'!B24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 t="shared" si="12"/>
        <v>0</v>
      </c>
      <c r="W24" s="39">
        <f t="shared" si="13"/>
        <v>0</v>
      </c>
      <c r="Z24" s="95">
        <f>'Verification of Boxes'!J20</f>
        <v>0</v>
      </c>
      <c r="AA24" s="37">
        <f t="shared" si="18"/>
        <v>0</v>
      </c>
      <c r="AB24" s="5"/>
      <c r="AC24" s="100">
        <f t="shared" si="14"/>
        <v>0</v>
      </c>
      <c r="AD24" s="110"/>
      <c r="AE24" s="5">
        <f t="shared" si="17"/>
        <v>0</v>
      </c>
      <c r="AF24" s="5">
        <f t="shared" si="15"/>
        <v>0</v>
      </c>
      <c r="AG24" s="96">
        <f t="shared" si="16"/>
        <v>0</v>
      </c>
      <c r="AJ24" s="341" t="s">
        <v>185</v>
      </c>
      <c r="AK24" s="293"/>
      <c r="AL24" s="37">
        <f>IF(AR46=1000000,0,AU46)</f>
        <v>0</v>
      </c>
      <c r="AM24" s="5">
        <f>IF(AL24=1000000,0,IF(AM23=0,0,AL24-AL23))</f>
        <v>0</v>
      </c>
      <c r="AN24" s="5">
        <f>IF(AL24=1000000,0,IF(AN23=0,0,AN23+AL24))</f>
        <v>0</v>
      </c>
      <c r="AO24" s="337" t="str">
        <f>IF(AN24&gt;AG4,0,IF(AV23&lt;&gt;0,0,IF(AN24&lt;AL25,"Exclude lowest 5 candidates",0)))</f>
        <v>Exclude lowest 5 candidates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189</v>
      </c>
      <c r="BA24" s="3" t="s">
        <v>190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9'!A25&lt;&gt;0,'Stage 9'!A25,IF(W25&gt;=$M$3,"Elected",IF(BP22&lt;&gt;0,"Excluded",0)))</f>
        <v>0</v>
      </c>
      <c r="B25" s="235">
        <f>'Stage 9'!B25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 t="shared" si="12"/>
        <v>0</v>
      </c>
      <c r="W25" s="39">
        <f t="shared" si="13"/>
        <v>0</v>
      </c>
      <c r="Z25" s="95">
        <f>'Verification of Boxes'!J21</f>
        <v>0</v>
      </c>
      <c r="AA25" s="37">
        <f t="shared" si="18"/>
        <v>0</v>
      </c>
      <c r="AB25" s="5"/>
      <c r="AC25" s="100">
        <f t="shared" si="14"/>
        <v>0</v>
      </c>
      <c r="AD25" s="110"/>
      <c r="AE25" s="5">
        <f t="shared" si="17"/>
        <v>0</v>
      </c>
      <c r="AF25" s="5">
        <f t="shared" si="15"/>
        <v>0</v>
      </c>
      <c r="AG25" s="96">
        <f t="shared" si="16"/>
        <v>0</v>
      </c>
      <c r="AJ25" s="355" t="s">
        <v>185</v>
      </c>
      <c r="AK25" s="356"/>
      <c r="AL25" s="89">
        <f>IF(AL24=1000000,0,AW46)</f>
        <v>1001065.29</v>
      </c>
      <c r="AM25" s="90">
        <f>IF(AL25=1000000,0,IF(AM24=0,0,AL25-AL24))</f>
        <v>0</v>
      </c>
      <c r="AN25" s="90">
        <f>IF(AL25=1000000,0,IF(AN24=0,0,AN24+AL25))</f>
        <v>0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0</v>
      </c>
      <c r="BE25" s="61" t="s">
        <v>193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9'!A26&lt;&gt;0,'Stage 9'!A26,IF(W26&gt;=$M$3,"Elected",IF(BP23&lt;&gt;0,"Excluded",0)))</f>
        <v>0</v>
      </c>
      <c r="B26" s="235">
        <f>'Stage 9'!B26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 t="shared" si="12"/>
        <v>0</v>
      </c>
      <c r="W26" s="39">
        <f t="shared" si="13"/>
        <v>0</v>
      </c>
      <c r="Z26" s="95">
        <f>'Verification of Boxes'!J22</f>
        <v>0</v>
      </c>
      <c r="AA26" s="37">
        <f t="shared" si="18"/>
        <v>0</v>
      </c>
      <c r="AB26" s="5"/>
      <c r="AC26" s="100">
        <f t="shared" si="14"/>
        <v>0</v>
      </c>
      <c r="AD26" s="110"/>
      <c r="AE26" s="5">
        <f t="shared" si="17"/>
        <v>0</v>
      </c>
      <c r="AF26" s="5">
        <f t="shared" si="15"/>
        <v>0</v>
      </c>
      <c r="AG26" s="96">
        <f t="shared" si="16"/>
        <v>0</v>
      </c>
      <c r="AT26" s="5"/>
      <c r="AU26" s="118"/>
      <c r="AV26" s="118">
        <f>SUM(AV27:AV32)</f>
        <v>8</v>
      </c>
      <c r="AW26" s="118"/>
      <c r="BA26" s="3"/>
      <c r="BB26" s="3"/>
      <c r="BC26" s="2"/>
      <c r="BE26" s="61" t="s">
        <v>194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9'!A27&lt;&gt;0,'Stage 9'!A27,IF(W27&gt;=$M$3,"Elected",IF(BP24&lt;&gt;0,"Excluded",0)))</f>
        <v>0</v>
      </c>
      <c r="B27" s="235">
        <f>'Stage 9'!B27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 t="shared" si="12"/>
        <v>0</v>
      </c>
      <c r="W27" s="39">
        <f t="shared" si="13"/>
        <v>0</v>
      </c>
      <c r="Z27" s="95">
        <f>'Verification of Boxes'!J23</f>
        <v>0</v>
      </c>
      <c r="AA27" s="37">
        <f t="shared" si="18"/>
        <v>0</v>
      </c>
      <c r="AB27" s="5"/>
      <c r="AC27" s="100">
        <f t="shared" si="14"/>
        <v>0</v>
      </c>
      <c r="AD27" s="110"/>
      <c r="AE27" s="5">
        <f t="shared" si="17"/>
        <v>0</v>
      </c>
      <c r="AF27" s="5">
        <f t="shared" si="15"/>
        <v>0</v>
      </c>
      <c r="AG27" s="96">
        <f t="shared" si="16"/>
        <v>0</v>
      </c>
      <c r="AJ27" s="98"/>
      <c r="AK27" s="98"/>
      <c r="AT27" s="5">
        <f>AW27</f>
        <v>0</v>
      </c>
      <c r="AU27" s="5">
        <f t="shared" ref="AU27:AU32" si="19">IF(AO20&lt;&gt;0,1,0)</f>
        <v>1</v>
      </c>
      <c r="AV27" s="5">
        <f>AU27</f>
        <v>1</v>
      </c>
      <c r="AW27" s="5">
        <f t="shared" ref="AW27:AW32" si="20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9'!A28&lt;&gt;0,'Stage 9'!A28,IF(W28&gt;=$M$3,"Elected",IF(BP25&lt;&gt;0,"Excluded",0)))</f>
        <v>0</v>
      </c>
      <c r="B28" s="235">
        <f>'Stage 9'!B28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 t="shared" si="12"/>
        <v>0</v>
      </c>
      <c r="W28" s="39">
        <f t="shared" si="13"/>
        <v>0</v>
      </c>
      <c r="Z28" s="95">
        <f>'Verification of Boxes'!J24</f>
        <v>0</v>
      </c>
      <c r="AA28" s="37">
        <f t="shared" si="18"/>
        <v>0</v>
      </c>
      <c r="AB28" s="5"/>
      <c r="AC28" s="100">
        <f t="shared" si="14"/>
        <v>0</v>
      </c>
      <c r="AD28" s="110"/>
      <c r="AE28" s="5">
        <f t="shared" si="17"/>
        <v>0</v>
      </c>
      <c r="AF28" s="5">
        <f t="shared" si="15"/>
        <v>0</v>
      </c>
      <c r="AG28" s="96">
        <f t="shared" si="16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0</v>
      </c>
      <c r="AU28" s="5">
        <f t="shared" si="19"/>
        <v>0</v>
      </c>
      <c r="AV28" s="5">
        <f>AV27+AU28</f>
        <v>1</v>
      </c>
      <c r="AW28" s="5">
        <f t="shared" si="20"/>
        <v>0</v>
      </c>
      <c r="BA28" s="3"/>
      <c r="BB28" s="3"/>
      <c r="BC28" s="2"/>
      <c r="BR28" s="19" t="s">
        <v>123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9'!A29&lt;&gt;0,'Stage 9'!A29,IF(W29&gt;=$M$3,"Elected",IF(BP26&lt;&gt;0,"Excluded",0)))</f>
        <v>0</v>
      </c>
      <c r="B29" s="235">
        <f>'Stage 9'!B29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 t="shared" si="12"/>
        <v>0</v>
      </c>
      <c r="W29" s="39">
        <f t="shared" si="13"/>
        <v>0</v>
      </c>
      <c r="Z29" s="95">
        <f>'Verification of Boxes'!J25</f>
        <v>0</v>
      </c>
      <c r="AA29" s="37">
        <f t="shared" si="18"/>
        <v>0</v>
      </c>
      <c r="AB29" s="5"/>
      <c r="AC29" s="100">
        <f t="shared" si="14"/>
        <v>0</v>
      </c>
      <c r="AD29" s="110"/>
      <c r="AE29" s="5">
        <f t="shared" si="17"/>
        <v>0</v>
      </c>
      <c r="AF29" s="5">
        <f t="shared" si="15"/>
        <v>0</v>
      </c>
      <c r="AG29" s="96">
        <f t="shared" si="16"/>
        <v>0</v>
      </c>
      <c r="AL29" s="330"/>
      <c r="AM29" s="331"/>
      <c r="AN29" s="331"/>
      <c r="AO29" s="331"/>
      <c r="AP29" s="331"/>
      <c r="AQ29" s="332"/>
      <c r="AT29" s="5">
        <f>AT28+AW29</f>
        <v>0</v>
      </c>
      <c r="AU29" s="5">
        <f t="shared" si="19"/>
        <v>0</v>
      </c>
      <c r="AV29" s="5">
        <f>AV28+AU29</f>
        <v>1</v>
      </c>
      <c r="AW29" s="5">
        <f t="shared" si="20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0</v>
      </c>
      <c r="BR29" s="5" t="s">
        <v>200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9'!A30&lt;&gt;0,'Stage 9'!A30,IF(W30&gt;=$M$3,"Elected",IF(BP27&lt;&gt;0,"Excluded",0)))</f>
        <v>0</v>
      </c>
      <c r="B30" s="235">
        <f>'Stage 9'!B30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 t="shared" si="12"/>
        <v>0</v>
      </c>
      <c r="W30" s="39">
        <f t="shared" si="13"/>
        <v>0</v>
      </c>
      <c r="Z30" s="95">
        <f>'Verification of Boxes'!J26</f>
        <v>0</v>
      </c>
      <c r="AA30" s="37">
        <f t="shared" si="18"/>
        <v>0</v>
      </c>
      <c r="AB30" s="5"/>
      <c r="AC30" s="100">
        <f t="shared" si="14"/>
        <v>0</v>
      </c>
      <c r="AD30" s="110"/>
      <c r="AE30" s="5">
        <f t="shared" si="17"/>
        <v>0</v>
      </c>
      <c r="AF30" s="5">
        <f t="shared" si="15"/>
        <v>0</v>
      </c>
      <c r="AG30" s="96">
        <f t="shared" si="16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19"/>
        <v>0</v>
      </c>
      <c r="AV30" s="5">
        <f>AV29+AU30</f>
        <v>1</v>
      </c>
      <c r="AW30" s="5">
        <f t="shared" si="20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270</v>
      </c>
      <c r="BJ30" s="328"/>
      <c r="BK30" s="329"/>
      <c r="BX30" s="333" t="str">
        <f>IF(BW31=BW69,"Calculations OK","Check Count for Error")</f>
        <v>Calculations OK</v>
      </c>
      <c r="BY30" s="333"/>
    </row>
    <row r="31" spans="1:83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1">
        <f>'Stage 3'!H31</f>
        <v>20.059999999999999</v>
      </c>
      <c r="I31" s="135">
        <f>'Stage 3'!I31</f>
        <v>20.079999999999995</v>
      </c>
      <c r="J31" s="71">
        <f>'Stage 4'!J31</f>
        <v>6.7899999999999991</v>
      </c>
      <c r="K31" s="135">
        <f>'Stage 4'!K31</f>
        <v>26.869999999999994</v>
      </c>
      <c r="L31" s="71">
        <f>'Stage 5'!L31</f>
        <v>1.7599999999999092</v>
      </c>
      <c r="M31" s="135">
        <f>'Stage 5'!M31</f>
        <v>28.629999999999903</v>
      </c>
      <c r="N31" s="71">
        <f>'Stage 6'!N31</f>
        <v>35.320000000000007</v>
      </c>
      <c r="O31" s="135">
        <f>'Stage 6'!O31</f>
        <v>63.94999999999991</v>
      </c>
      <c r="P31" s="71">
        <f>'Stage 7'!P31</f>
        <v>228.78</v>
      </c>
      <c r="Q31" s="135">
        <f>'Stage 7'!Q31</f>
        <v>292.7299999999999</v>
      </c>
      <c r="R31" s="71">
        <f>'Stage 8'!R31</f>
        <v>171.26999999999998</v>
      </c>
      <c r="S31" s="135">
        <f>'Stage 8'!S31</f>
        <v>463.99999999999989</v>
      </c>
      <c r="T31" s="71">
        <f>'Stage 9'!T31</f>
        <v>0</v>
      </c>
      <c r="U31" s="135">
        <f>'Stage 9'!U31</f>
        <v>463.99999999999989</v>
      </c>
      <c r="V31" s="71">
        <f>$BK69</f>
        <v>0</v>
      </c>
      <c r="W31" s="41">
        <f t="shared" si="13"/>
        <v>0</v>
      </c>
      <c r="Z31" s="95">
        <f>'Verification of Boxes'!J27</f>
        <v>0</v>
      </c>
      <c r="AA31" s="37">
        <f t="shared" si="18"/>
        <v>0</v>
      </c>
      <c r="AB31" s="5"/>
      <c r="AC31" s="100">
        <f t="shared" si="14"/>
        <v>0</v>
      </c>
      <c r="AD31" s="110"/>
      <c r="AE31" s="5">
        <f t="shared" si="17"/>
        <v>0</v>
      </c>
      <c r="AF31" s="5">
        <f t="shared" si="15"/>
        <v>0</v>
      </c>
      <c r="AG31" s="96">
        <f t="shared" si="16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0</v>
      </c>
      <c r="AU31" s="5">
        <f t="shared" si="19"/>
        <v>1</v>
      </c>
      <c r="AV31" s="5">
        <f>AV30+AU31</f>
        <v>2</v>
      </c>
      <c r="AW31" s="5">
        <f t="shared" si="20"/>
        <v>0</v>
      </c>
      <c r="AZ31" t="s">
        <v>203</v>
      </c>
      <c r="BA31" s="3" t="s">
        <v>204</v>
      </c>
      <c r="BB31" s="3"/>
      <c r="BC31" s="50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V31" t="s">
        <v>119</v>
      </c>
      <c r="BW31" s="5">
        <f>BT29+BV29+BX29+BZ29+CB29+CD29</f>
        <v>0</v>
      </c>
      <c r="BX31" s="311"/>
      <c r="BY31" s="311"/>
      <c r="BZ31" s="5">
        <f>BW69-BW31</f>
        <v>0</v>
      </c>
      <c r="CB31" s="327" t="s">
        <v>270</v>
      </c>
      <c r="CC31" s="328"/>
      <c r="CD31" s="328"/>
      <c r="CE31" s="32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1"/>
      <c r="I32" s="135">
        <f>'Stage 3'!I32</f>
        <v>7496</v>
      </c>
      <c r="J32" s="192"/>
      <c r="K32" s="135">
        <f>'Stage 4'!K32</f>
        <v>7495.9999999999991</v>
      </c>
      <c r="L32" s="192"/>
      <c r="M32" s="135">
        <f>'Stage 5'!M32</f>
        <v>7495.9999999999991</v>
      </c>
      <c r="N32" s="192"/>
      <c r="O32" s="135">
        <f>'Stage 6'!O32</f>
        <v>7496</v>
      </c>
      <c r="P32" s="192"/>
      <c r="Q32" s="135">
        <f>'Stage 7'!Q32</f>
        <v>7496</v>
      </c>
      <c r="R32" s="192"/>
      <c r="S32" s="135">
        <f>'Stage 8'!S32</f>
        <v>7496</v>
      </c>
      <c r="T32" s="192"/>
      <c r="U32" s="135">
        <f>'Stage 9'!U32</f>
        <v>6750.52</v>
      </c>
      <c r="V32" s="190"/>
      <c r="W32" s="50">
        <f>SUM(W11:W31)</f>
        <v>0</v>
      </c>
      <c r="Z32" s="95">
        <f>'Verification of Boxes'!J28</f>
        <v>0</v>
      </c>
      <c r="AA32" s="37">
        <f t="shared" si="18"/>
        <v>0</v>
      </c>
      <c r="AB32" s="5"/>
      <c r="AC32" s="100">
        <f t="shared" si="14"/>
        <v>0</v>
      </c>
      <c r="AD32" s="110"/>
      <c r="AE32" s="5">
        <f t="shared" si="17"/>
        <v>0</v>
      </c>
      <c r="AF32" s="5">
        <f t="shared" si="15"/>
        <v>0</v>
      </c>
      <c r="AG32" s="96">
        <f t="shared" si="16"/>
        <v>0</v>
      </c>
      <c r="AL32" s="330"/>
      <c r="AM32" s="331"/>
      <c r="AN32" s="331"/>
      <c r="AO32" s="331"/>
      <c r="AP32" s="331"/>
      <c r="AQ32" s="332"/>
      <c r="AT32" s="5">
        <f>AT31+AW32</f>
        <v>0</v>
      </c>
      <c r="AU32" s="5">
        <f t="shared" si="19"/>
        <v>0</v>
      </c>
      <c r="AV32" s="5">
        <f>AV31+AU32</f>
        <v>2</v>
      </c>
      <c r="AW32" s="5">
        <f t="shared" si="20"/>
        <v>0</v>
      </c>
      <c r="BF32" s="311"/>
      <c r="BG32" s="311"/>
      <c r="BX32" s="311"/>
      <c r="BY32" s="311"/>
      <c r="CB32" s="330"/>
      <c r="CC32" s="331"/>
      <c r="CD32" s="331"/>
      <c r="CE32" s="332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8"/>
        <v>0</v>
      </c>
      <c r="AB33" s="90"/>
      <c r="AC33" s="101">
        <f t="shared" si="14"/>
        <v>0</v>
      </c>
      <c r="AD33" s="147"/>
      <c r="AE33" s="90">
        <f t="shared" si="17"/>
        <v>0</v>
      </c>
      <c r="AF33" s="90">
        <f t="shared" si="15"/>
        <v>0</v>
      </c>
      <c r="AG33" s="148">
        <f t="shared" si="16"/>
        <v>0</v>
      </c>
    </row>
    <row r="34" spans="4:75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5">
        <f>'Stage 3'!I34</f>
        <v>0</v>
      </c>
      <c r="J34" s="219"/>
      <c r="K34" s="185">
        <f>'Stage 4'!K34</f>
        <v>0</v>
      </c>
      <c r="L34" s="219"/>
      <c r="M34" s="185">
        <f>'Stage 5'!M34</f>
        <v>0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0.77361111111111114</v>
      </c>
      <c r="T34" s="219"/>
      <c r="U34" s="185">
        <f>'Stage 9'!U34</f>
        <v>0</v>
      </c>
      <c r="V34" s="219"/>
      <c r="W34" s="183"/>
    </row>
    <row r="35" spans="4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</row>
    <row r="36" spans="4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</row>
    <row r="38" spans="4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1">AL39+AK40</f>
        <v>0</v>
      </c>
      <c r="AM40" s="5">
        <f t="shared" si="21"/>
        <v>0</v>
      </c>
      <c r="AN40" s="5">
        <f t="shared" si="21"/>
        <v>0</v>
      </c>
      <c r="AO40" s="5">
        <f t="shared" si="21"/>
        <v>0</v>
      </c>
      <c r="AP40" s="5">
        <f t="shared" si="21"/>
        <v>0</v>
      </c>
      <c r="AQ40" s="5">
        <f t="shared" si="21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2">IF(AK40=AL40,1,0)</f>
        <v>1</v>
      </c>
      <c r="AM41" s="5">
        <f t="shared" si="22"/>
        <v>1</v>
      </c>
      <c r="AN41" s="5">
        <f t="shared" si="22"/>
        <v>1</v>
      </c>
      <c r="AO41" s="5">
        <f t="shared" si="22"/>
        <v>1</v>
      </c>
      <c r="AP41" s="5">
        <f t="shared" si="22"/>
        <v>1</v>
      </c>
      <c r="AQ41" s="5">
        <f t="shared" si="22"/>
        <v>1</v>
      </c>
    </row>
    <row r="42" spans="4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23">IF(AM40=AL38,"add",0)</f>
        <v>0</v>
      </c>
      <c r="AM42" s="5">
        <f t="shared" si="23"/>
        <v>0</v>
      </c>
      <c r="AN42" s="5">
        <f t="shared" si="23"/>
        <v>0</v>
      </c>
      <c r="AO42" s="5">
        <f t="shared" si="23"/>
        <v>0</v>
      </c>
      <c r="AP42" s="5">
        <f t="shared" si="23"/>
        <v>0</v>
      </c>
      <c r="AQ42" s="5">
        <f t="shared" si="23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PORTER</v>
      </c>
      <c r="AA44" s="250">
        <v>937.23</v>
      </c>
      <c r="AB44" s="250">
        <v>937.23</v>
      </c>
      <c r="AC44" s="250">
        <f>AC43+AA44</f>
        <v>937.23</v>
      </c>
      <c r="AD44" s="250"/>
      <c r="AE44" s="252" t="str">
        <f>IF(AC44&gt;$AG$4,0,IF(AC44&lt;AA45,"Exclude this candidate",0))</f>
        <v>Exclude this candidate</v>
      </c>
      <c r="AF44" s="250"/>
      <c r="AG44" s="250"/>
    </row>
    <row r="45" spans="4:75" ht="18" customHeight="1" x14ac:dyDescent="0.35">
      <c r="Z45" s="253" t="str">
        <v>MITCHELL</v>
      </c>
      <c r="AA45" s="250">
        <v>1065.29</v>
      </c>
      <c r="AB45" s="250">
        <v>1065.29</v>
      </c>
      <c r="AC45" s="250">
        <f>AC44+AA45</f>
        <v>2002.52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4:75" x14ac:dyDescent="0.25">
      <c r="Z46" s="253" t="str">
        <v>EWING</v>
      </c>
      <c r="AA46" s="250">
        <v>1071</v>
      </c>
      <c r="AB46" s="250">
        <v>1071</v>
      </c>
      <c r="AC46" s="250">
        <f t="shared" ref="AC46:AC63" si="24">AC45+AA46</f>
        <v>3073.52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937.23</v>
      </c>
      <c r="AN46" s="2">
        <f>AN47+AL46</f>
        <v>1065.29</v>
      </c>
      <c r="AP46" s="2">
        <f>AP47+AN46</f>
        <v>1071</v>
      </c>
      <c r="AR46" s="2">
        <f>AR47+AP46</f>
        <v>1000000</v>
      </c>
      <c r="AS46" s="2"/>
      <c r="AU46" s="2">
        <f>AU47+AR46</f>
        <v>1000937.23</v>
      </c>
      <c r="AW46" s="2">
        <f>AW47+AU46</f>
        <v>1001065.29</v>
      </c>
      <c r="AX46" s="2"/>
      <c r="BG46" t="s">
        <v>212</v>
      </c>
    </row>
    <row r="47" spans="4:75" x14ac:dyDescent="0.25">
      <c r="Z47" s="253" t="str">
        <v>GIVAN</v>
      </c>
      <c r="AA47" s="250">
        <v>1071</v>
      </c>
      <c r="AB47" s="250">
        <v>1071</v>
      </c>
      <c r="AC47" s="250">
        <f t="shared" si="24"/>
        <v>4144.5200000000004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937.23</v>
      </c>
      <c r="AN47" s="2">
        <f>MIN(AN48:AN67)</f>
        <v>128.05999999999995</v>
      </c>
      <c r="AP47" s="2">
        <f>MIN(AP48:AP67)</f>
        <v>5.7100000000000364</v>
      </c>
      <c r="AR47" s="2">
        <f>MIN(AR48:AR67)</f>
        <v>998929</v>
      </c>
      <c r="AS47" s="2"/>
      <c r="AU47" s="2">
        <f>MIN(AU48:AU67)</f>
        <v>937.22999999998137</v>
      </c>
      <c r="AW47" s="2">
        <f>MIN(AW48:AW67)</f>
        <v>128.06000000005588</v>
      </c>
      <c r="AX47" s="2"/>
    </row>
    <row r="48" spans="4:75" ht="37.5" x14ac:dyDescent="0.25">
      <c r="Z48" s="253" t="str">
        <v>GREHAN</v>
      </c>
      <c r="AA48" s="250">
        <v>1071</v>
      </c>
      <c r="AB48" s="250">
        <v>1071</v>
      </c>
      <c r="AC48" s="250">
        <f t="shared" si="24"/>
        <v>5215.5200000000004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5">Z14</f>
        <v>EWING</v>
      </c>
      <c r="AK48" s="2">
        <f t="shared" si="25"/>
        <v>1071</v>
      </c>
      <c r="AL48">
        <f>IF(AK48&lt;&gt;0,AK48,1000000)</f>
        <v>1071</v>
      </c>
      <c r="AM48" s="2">
        <f t="shared" ref="AM48:AM67" si="26">AL48-AL$47</f>
        <v>133.76999999999998</v>
      </c>
      <c r="AN48">
        <f>IF(AM48&lt;&gt;0,AM48,1000000)</f>
        <v>133.76999999999998</v>
      </c>
      <c r="AO48" s="2">
        <f t="shared" ref="AO48:AO67" si="27">AN48-AN$47</f>
        <v>5.7100000000000364</v>
      </c>
      <c r="AP48">
        <f t="shared" ref="AP48:AP67" si="28">IF(AO48&lt;&gt;0,AO48,1000000)</f>
        <v>5.7100000000000364</v>
      </c>
      <c r="AQ48" s="2">
        <f t="shared" ref="AQ48:AQ67" si="29">AP48-AP$47</f>
        <v>0</v>
      </c>
      <c r="AR48">
        <f t="shared" ref="AR48:AR67" si="30">IF(AQ48&lt;&gt;0,AQ48,1000000)</f>
        <v>1000000</v>
      </c>
      <c r="AT48" s="2">
        <f t="shared" ref="AT48:AT67" si="31">AR48-AR$47</f>
        <v>1071</v>
      </c>
      <c r="AU48">
        <f t="shared" ref="AU48:AU67" si="32">IF(AT48&lt;&gt;0,AT48,1000000)</f>
        <v>1071</v>
      </c>
      <c r="AV48" s="2">
        <f t="shared" ref="AV48:AV67" si="33">AU48-AU$47</f>
        <v>133.77000000001863</v>
      </c>
      <c r="AW48">
        <f t="shared" ref="AW48:AW67" si="34">IF(AV48&lt;&gt;0,AV48,1000000)</f>
        <v>133.77000000001863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W48" t="s">
        <v>218</v>
      </c>
    </row>
    <row r="49" spans="26:75" x14ac:dyDescent="0.25">
      <c r="Z49" s="253" t="str">
        <v>KENNEDY</v>
      </c>
      <c r="AA49" s="250">
        <v>1071</v>
      </c>
      <c r="AB49" s="250">
        <v>1071</v>
      </c>
      <c r="AC49" s="250">
        <f t="shared" si="24"/>
        <v>6286.52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5"/>
        <v>FLYNN</v>
      </c>
      <c r="AK49" s="2">
        <f t="shared" si="25"/>
        <v>0</v>
      </c>
      <c r="AL49">
        <f t="shared" ref="AL49:AL67" si="35">IF(AK49&lt;&gt;0,AK49,1000000)</f>
        <v>1000000</v>
      </c>
      <c r="AM49" s="2">
        <f t="shared" si="26"/>
        <v>999062.77</v>
      </c>
      <c r="AN49">
        <f t="shared" ref="AN49:AN67" si="36">IF(AM49&lt;&gt;0,AM49,1000000)</f>
        <v>999062.77</v>
      </c>
      <c r="AO49" s="2">
        <f t="shared" si="27"/>
        <v>998934.71</v>
      </c>
      <c r="AP49">
        <f t="shared" si="28"/>
        <v>998934.71</v>
      </c>
      <c r="AQ49" s="2">
        <f t="shared" si="29"/>
        <v>998929</v>
      </c>
      <c r="AR49">
        <f t="shared" si="30"/>
        <v>998929</v>
      </c>
      <c r="AT49" s="2">
        <f t="shared" si="31"/>
        <v>0</v>
      </c>
      <c r="AU49">
        <f t="shared" si="32"/>
        <v>1000000</v>
      </c>
      <c r="AV49" s="2">
        <f t="shared" si="33"/>
        <v>999062.77</v>
      </c>
      <c r="AW49">
        <f t="shared" si="34"/>
        <v>999062.77</v>
      </c>
      <c r="BE49" s="5">
        <f>IF($BH5="y",$BE5,IF($BH6="y",$BE6,IF($BH7="y",$BE7,IF($BH8="y",$BE8,IF($BH9="y",$BE9,IF($BH10="y",$BE10,0))))))</f>
        <v>0</v>
      </c>
      <c r="BG49" s="125" t="str">
        <f t="shared" ref="BG49:BG68" si="37">BE5</f>
        <v>EWING</v>
      </c>
      <c r="BH49" s="126"/>
      <c r="BI49" s="5">
        <f t="shared" ref="BI49:BI68" si="38">IF(BE5=0,0,IF(BE5=BA$8,-BC$12,0))</f>
        <v>0</v>
      </c>
      <c r="BJ49" s="5">
        <f t="shared" ref="BJ49:BJ68" si="39">BN49</f>
        <v>0</v>
      </c>
      <c r="BK49" s="5">
        <f t="shared" ref="BK49:BK68" si="40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FLYNN</v>
      </c>
      <c r="AA50" s="250">
        <v>0</v>
      </c>
      <c r="AB50" s="250">
        <v>1000000</v>
      </c>
      <c r="AC50" s="250">
        <f t="shared" si="24"/>
        <v>6286.52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5"/>
        <v>FRENCH</v>
      </c>
      <c r="AK50" s="2">
        <f t="shared" si="25"/>
        <v>0</v>
      </c>
      <c r="AL50">
        <f t="shared" si="35"/>
        <v>1000000</v>
      </c>
      <c r="AM50" s="2">
        <f t="shared" si="26"/>
        <v>999062.77</v>
      </c>
      <c r="AN50">
        <f t="shared" si="36"/>
        <v>999062.77</v>
      </c>
      <c r="AO50" s="2">
        <f t="shared" si="27"/>
        <v>998934.71</v>
      </c>
      <c r="AP50">
        <f t="shared" si="28"/>
        <v>998934.71</v>
      </c>
      <c r="AQ50" s="2">
        <f t="shared" si="29"/>
        <v>998929</v>
      </c>
      <c r="AR50">
        <f t="shared" si="30"/>
        <v>998929</v>
      </c>
      <c r="AT50" s="2">
        <f t="shared" si="31"/>
        <v>0</v>
      </c>
      <c r="AU50">
        <f t="shared" si="32"/>
        <v>1000000</v>
      </c>
      <c r="AV50" s="2">
        <f t="shared" si="33"/>
        <v>999062.77</v>
      </c>
      <c r="AW50">
        <f t="shared" si="34"/>
        <v>999062.77</v>
      </c>
      <c r="BE50" s="5">
        <f>IF($BH11="y",$BE11,IF($BH12="y",$BE12,IF($BH13="y",$BE13,IF($BH14="y",$BE14,IF($BH15="y",$BE15,IF($BH16="y",$BE16,0))))))</f>
        <v>0</v>
      </c>
      <c r="BG50" s="127" t="str">
        <f t="shared" si="37"/>
        <v>FLYNN</v>
      </c>
      <c r="BH50" s="128"/>
      <c r="BI50" s="5">
        <f t="shared" si="38"/>
        <v>0</v>
      </c>
      <c r="BJ50" s="5">
        <f t="shared" si="39"/>
        <v>0</v>
      </c>
      <c r="BK50" s="5">
        <f t="shared" si="40"/>
        <v>0</v>
      </c>
      <c r="BN50" s="5">
        <f t="shared" ref="BN50:BN68" si="41">IF(BP9="y",-BO9,0)</f>
        <v>0</v>
      </c>
      <c r="BW50" s="5">
        <f t="shared" ref="BW50:BW68" si="42">IF(BP9="y",BO9,0)</f>
        <v>0</v>
      </c>
    </row>
    <row r="51" spans="26:75" ht="12.75" customHeight="1" x14ac:dyDescent="0.25">
      <c r="Z51" s="253" t="str">
        <v>FRENCH</v>
      </c>
      <c r="AA51" s="250">
        <v>0</v>
      </c>
      <c r="AB51" s="250">
        <v>1000000</v>
      </c>
      <c r="AC51" s="250">
        <f t="shared" si="24"/>
        <v>6286.52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5"/>
        <v>GIVAN</v>
      </c>
      <c r="AK51" s="2">
        <f t="shared" si="25"/>
        <v>1071</v>
      </c>
      <c r="AL51">
        <f t="shared" si="35"/>
        <v>1071</v>
      </c>
      <c r="AM51" s="2">
        <f t="shared" si="26"/>
        <v>133.76999999999998</v>
      </c>
      <c r="AN51">
        <f t="shared" si="36"/>
        <v>133.76999999999998</v>
      </c>
      <c r="AO51" s="2">
        <f t="shared" si="27"/>
        <v>5.7100000000000364</v>
      </c>
      <c r="AP51">
        <f t="shared" si="28"/>
        <v>5.7100000000000364</v>
      </c>
      <c r="AQ51" s="2">
        <f t="shared" si="29"/>
        <v>0</v>
      </c>
      <c r="AR51">
        <f t="shared" si="30"/>
        <v>1000000</v>
      </c>
      <c r="AT51" s="2">
        <f t="shared" si="31"/>
        <v>1071</v>
      </c>
      <c r="AU51">
        <f t="shared" si="32"/>
        <v>1071</v>
      </c>
      <c r="AV51" s="2">
        <f t="shared" si="33"/>
        <v>133.77000000001863</v>
      </c>
      <c r="AW51">
        <f t="shared" si="34"/>
        <v>133.77000000001863</v>
      </c>
      <c r="BE51" s="5">
        <f>IF($BH17="y",$BE17,IF($BH18="y",$BE18,IF($BH19="y",$BE19,IF($BH20="y",$BE20,IF($BH21="y",$BE21,IF($BH22="y",$BE22,0))))))</f>
        <v>0</v>
      </c>
      <c r="BG51" s="127" t="str">
        <f t="shared" si="37"/>
        <v>FRENCH</v>
      </c>
      <c r="BH51" s="128"/>
      <c r="BI51" s="5">
        <f t="shared" si="38"/>
        <v>0</v>
      </c>
      <c r="BJ51" s="5">
        <f t="shared" si="39"/>
        <v>0</v>
      </c>
      <c r="BK51" s="5">
        <f t="shared" si="40"/>
        <v>0</v>
      </c>
      <c r="BN51" s="5">
        <f t="shared" si="41"/>
        <v>0</v>
      </c>
      <c r="BW51" s="5">
        <f t="shared" si="42"/>
        <v>0</v>
      </c>
    </row>
    <row r="52" spans="26:75" x14ac:dyDescent="0.25">
      <c r="Z52" s="253" t="str">
        <v>MCEVOY</v>
      </c>
      <c r="AA52" s="250">
        <v>0</v>
      </c>
      <c r="AB52" s="250">
        <v>1000000</v>
      </c>
      <c r="AC52" s="250">
        <f t="shared" si="24"/>
        <v>6286.52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5"/>
        <v>GREHAN</v>
      </c>
      <c r="AK52" s="2">
        <f t="shared" si="25"/>
        <v>1071</v>
      </c>
      <c r="AL52">
        <f t="shared" si="35"/>
        <v>1071</v>
      </c>
      <c r="AM52" s="2">
        <f t="shared" si="26"/>
        <v>133.76999999999998</v>
      </c>
      <c r="AN52">
        <f t="shared" si="36"/>
        <v>133.76999999999998</v>
      </c>
      <c r="AO52" s="2">
        <f t="shared" si="27"/>
        <v>5.7100000000000364</v>
      </c>
      <c r="AP52">
        <f t="shared" si="28"/>
        <v>5.7100000000000364</v>
      </c>
      <c r="AQ52" s="2">
        <f t="shared" si="29"/>
        <v>0</v>
      </c>
      <c r="AR52">
        <f t="shared" si="30"/>
        <v>1000000</v>
      </c>
      <c r="AT52" s="2">
        <f t="shared" si="31"/>
        <v>1071</v>
      </c>
      <c r="AU52">
        <f t="shared" si="32"/>
        <v>1071</v>
      </c>
      <c r="AV52" s="2">
        <f t="shared" si="33"/>
        <v>133.77000000001863</v>
      </c>
      <c r="AW52">
        <f t="shared" si="34"/>
        <v>133.77000000001863</v>
      </c>
      <c r="BE52" s="5">
        <f>IF($BH23="y",$BE23,IF($BH24="y",$BE24,0))</f>
        <v>0</v>
      </c>
      <c r="BG52" s="127" t="str">
        <f t="shared" si="37"/>
        <v>GIVAN</v>
      </c>
      <c r="BH52" s="128"/>
      <c r="BI52" s="5">
        <f t="shared" si="38"/>
        <v>0</v>
      </c>
      <c r="BJ52" s="5">
        <f t="shared" si="39"/>
        <v>0</v>
      </c>
      <c r="BK52" s="5">
        <f t="shared" si="40"/>
        <v>0</v>
      </c>
      <c r="BN52" s="5">
        <f t="shared" si="41"/>
        <v>0</v>
      </c>
      <c r="BW52" s="5">
        <f t="shared" si="42"/>
        <v>0</v>
      </c>
    </row>
    <row r="53" spans="26:75" x14ac:dyDescent="0.25">
      <c r="Z53" s="253" t="str">
        <v>PALMER</v>
      </c>
      <c r="AA53" s="250">
        <v>0</v>
      </c>
      <c r="AB53" s="250">
        <v>1000000</v>
      </c>
      <c r="AC53" s="250">
        <f t="shared" si="24"/>
        <v>6286.52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5"/>
        <v>KENNEDY</v>
      </c>
      <c r="AK53" s="2">
        <f t="shared" si="25"/>
        <v>1071</v>
      </c>
      <c r="AL53">
        <f t="shared" si="35"/>
        <v>1071</v>
      </c>
      <c r="AM53" s="2">
        <f t="shared" si="26"/>
        <v>133.76999999999998</v>
      </c>
      <c r="AN53">
        <f t="shared" si="36"/>
        <v>133.76999999999998</v>
      </c>
      <c r="AO53" s="2">
        <f t="shared" si="27"/>
        <v>5.7100000000000364</v>
      </c>
      <c r="AP53">
        <f t="shared" si="28"/>
        <v>5.7100000000000364</v>
      </c>
      <c r="AQ53" s="2">
        <f t="shared" si="29"/>
        <v>0</v>
      </c>
      <c r="AR53">
        <f t="shared" si="30"/>
        <v>1000000</v>
      </c>
      <c r="AT53" s="2">
        <f t="shared" si="31"/>
        <v>1071</v>
      </c>
      <c r="AU53">
        <f t="shared" si="32"/>
        <v>1071</v>
      </c>
      <c r="AV53" s="2">
        <f t="shared" si="33"/>
        <v>133.77000000001863</v>
      </c>
      <c r="AW53">
        <f t="shared" si="34"/>
        <v>133.77000000001863</v>
      </c>
      <c r="BG53" s="127" t="str">
        <f t="shared" si="37"/>
        <v>GREHAN</v>
      </c>
      <c r="BH53" s="128"/>
      <c r="BI53" s="5">
        <f t="shared" si="38"/>
        <v>0</v>
      </c>
      <c r="BJ53" s="5">
        <f t="shared" si="39"/>
        <v>0</v>
      </c>
      <c r="BK53" s="5">
        <f t="shared" si="40"/>
        <v>0</v>
      </c>
      <c r="BN53" s="5">
        <f t="shared" si="41"/>
        <v>0</v>
      </c>
      <c r="BW53" s="5">
        <f t="shared" si="42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4"/>
        <v>6286.52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5"/>
        <v>MCEVOY</v>
      </c>
      <c r="AK54" s="2">
        <f t="shared" si="25"/>
        <v>0</v>
      </c>
      <c r="AL54">
        <f t="shared" si="35"/>
        <v>1000000</v>
      </c>
      <c r="AM54" s="2">
        <f t="shared" si="26"/>
        <v>999062.77</v>
      </c>
      <c r="AN54">
        <f t="shared" si="36"/>
        <v>999062.77</v>
      </c>
      <c r="AO54" s="2">
        <f t="shared" si="27"/>
        <v>998934.71</v>
      </c>
      <c r="AP54">
        <f t="shared" si="28"/>
        <v>998934.71</v>
      </c>
      <c r="AQ54" s="2">
        <f t="shared" si="29"/>
        <v>998929</v>
      </c>
      <c r="AR54">
        <f t="shared" si="30"/>
        <v>998929</v>
      </c>
      <c r="AT54" s="2">
        <f t="shared" si="31"/>
        <v>0</v>
      </c>
      <c r="AU54">
        <f t="shared" si="32"/>
        <v>1000000</v>
      </c>
      <c r="AV54" s="2">
        <f t="shared" si="33"/>
        <v>999062.77</v>
      </c>
      <c r="AW54">
        <f t="shared" si="34"/>
        <v>999062.77</v>
      </c>
      <c r="BG54" s="127" t="str">
        <f t="shared" si="37"/>
        <v>KENNEDY</v>
      </c>
      <c r="BH54" s="128"/>
      <c r="BI54" s="5">
        <f t="shared" si="38"/>
        <v>0</v>
      </c>
      <c r="BJ54" s="5">
        <f t="shared" si="39"/>
        <v>0</v>
      </c>
      <c r="BK54" s="5">
        <f t="shared" si="40"/>
        <v>0</v>
      </c>
      <c r="BN54" s="5">
        <f t="shared" si="41"/>
        <v>0</v>
      </c>
      <c r="BW54" s="5">
        <f t="shared" si="42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4"/>
        <v>6286.52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5"/>
        <v>MITCHELL</v>
      </c>
      <c r="AK55" s="2">
        <f t="shared" si="25"/>
        <v>1065.29</v>
      </c>
      <c r="AL55">
        <f t="shared" si="35"/>
        <v>1065.29</v>
      </c>
      <c r="AM55" s="2">
        <f t="shared" si="26"/>
        <v>128.05999999999995</v>
      </c>
      <c r="AN55">
        <f t="shared" si="36"/>
        <v>128.05999999999995</v>
      </c>
      <c r="AO55" s="2">
        <f t="shared" si="27"/>
        <v>0</v>
      </c>
      <c r="AP55">
        <f t="shared" si="28"/>
        <v>1000000</v>
      </c>
      <c r="AQ55" s="2">
        <f t="shared" si="29"/>
        <v>999994.29</v>
      </c>
      <c r="AR55">
        <f t="shared" si="30"/>
        <v>999994.29</v>
      </c>
      <c r="AT55" s="2">
        <f t="shared" si="31"/>
        <v>1065.2900000000373</v>
      </c>
      <c r="AU55">
        <f t="shared" si="32"/>
        <v>1065.2900000000373</v>
      </c>
      <c r="AV55" s="2">
        <f t="shared" si="33"/>
        <v>128.06000000005588</v>
      </c>
      <c r="AW55">
        <f t="shared" si="34"/>
        <v>128.06000000005588</v>
      </c>
      <c r="BG55" s="127" t="str">
        <f t="shared" si="37"/>
        <v>MCEVOY</v>
      </c>
      <c r="BH55" s="128"/>
      <c r="BI55" s="5">
        <f t="shared" si="38"/>
        <v>0</v>
      </c>
      <c r="BJ55" s="5">
        <f t="shared" si="39"/>
        <v>0</v>
      </c>
      <c r="BK55" s="5">
        <f t="shared" si="40"/>
        <v>0</v>
      </c>
      <c r="BN55" s="5">
        <f t="shared" si="41"/>
        <v>0</v>
      </c>
      <c r="BW55" s="5">
        <f t="shared" si="42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4"/>
        <v>6286.52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5"/>
        <v>PALMER</v>
      </c>
      <c r="AK56" s="2">
        <f t="shared" si="25"/>
        <v>0</v>
      </c>
      <c r="AL56">
        <f t="shared" si="35"/>
        <v>1000000</v>
      </c>
      <c r="AM56" s="2">
        <f t="shared" si="26"/>
        <v>999062.77</v>
      </c>
      <c r="AN56">
        <f t="shared" si="36"/>
        <v>999062.77</v>
      </c>
      <c r="AO56" s="2">
        <f t="shared" si="27"/>
        <v>998934.71</v>
      </c>
      <c r="AP56">
        <f t="shared" si="28"/>
        <v>998934.71</v>
      </c>
      <c r="AQ56" s="2">
        <f t="shared" si="29"/>
        <v>998929</v>
      </c>
      <c r="AR56">
        <f t="shared" si="30"/>
        <v>998929</v>
      </c>
      <c r="AT56" s="2">
        <f t="shared" si="31"/>
        <v>0</v>
      </c>
      <c r="AU56">
        <f t="shared" si="32"/>
        <v>1000000</v>
      </c>
      <c r="AV56" s="2">
        <f t="shared" si="33"/>
        <v>999062.77</v>
      </c>
      <c r="AW56">
        <f t="shared" si="34"/>
        <v>999062.77</v>
      </c>
      <c r="BG56" s="127" t="str">
        <f t="shared" si="37"/>
        <v>MITCHELL</v>
      </c>
      <c r="BH56" s="128"/>
      <c r="BI56" s="5">
        <f t="shared" si="38"/>
        <v>0</v>
      </c>
      <c r="BJ56" s="5">
        <f t="shared" si="39"/>
        <v>0</v>
      </c>
      <c r="BK56" s="5">
        <f t="shared" si="40"/>
        <v>0</v>
      </c>
      <c r="BN56" s="5">
        <f t="shared" si="41"/>
        <v>0</v>
      </c>
      <c r="BW56" s="5">
        <f t="shared" si="42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4"/>
        <v>6286.52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5"/>
        <v>PORTER</v>
      </c>
      <c r="AK57" s="2">
        <f t="shared" si="25"/>
        <v>937.23</v>
      </c>
      <c r="AL57">
        <f t="shared" si="35"/>
        <v>937.23</v>
      </c>
      <c r="AM57" s="2">
        <f t="shared" si="26"/>
        <v>0</v>
      </c>
      <c r="AN57">
        <f t="shared" si="36"/>
        <v>1000000</v>
      </c>
      <c r="AO57" s="2">
        <f t="shared" si="27"/>
        <v>999871.94</v>
      </c>
      <c r="AP57">
        <f t="shared" si="28"/>
        <v>999871.94</v>
      </c>
      <c r="AQ57" s="2">
        <f t="shared" si="29"/>
        <v>999866.23</v>
      </c>
      <c r="AR57">
        <f t="shared" si="30"/>
        <v>999866.23</v>
      </c>
      <c r="AT57" s="2">
        <f t="shared" si="31"/>
        <v>937.22999999998137</v>
      </c>
      <c r="AU57">
        <f t="shared" si="32"/>
        <v>937.22999999998137</v>
      </c>
      <c r="AV57" s="2">
        <f t="shared" si="33"/>
        <v>0</v>
      </c>
      <c r="AW57">
        <f t="shared" si="34"/>
        <v>1000000</v>
      </c>
      <c r="BG57" s="127" t="str">
        <f t="shared" si="37"/>
        <v>PALMER</v>
      </c>
      <c r="BH57" s="128"/>
      <c r="BI57" s="5">
        <f t="shared" si="38"/>
        <v>0</v>
      </c>
      <c r="BJ57" s="5">
        <f t="shared" si="39"/>
        <v>0</v>
      </c>
      <c r="BK57" s="5">
        <f t="shared" si="40"/>
        <v>0</v>
      </c>
      <c r="BN57" s="5">
        <f t="shared" si="41"/>
        <v>0</v>
      </c>
      <c r="BW57" s="5">
        <f t="shared" si="42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4"/>
        <v>6286.52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5"/>
        <v>0</v>
      </c>
      <c r="AK58" s="2">
        <f t="shared" si="25"/>
        <v>0</v>
      </c>
      <c r="AL58">
        <f t="shared" si="35"/>
        <v>1000000</v>
      </c>
      <c r="AM58" s="2">
        <f t="shared" si="26"/>
        <v>999062.77</v>
      </c>
      <c r="AN58">
        <f t="shared" si="36"/>
        <v>999062.77</v>
      </c>
      <c r="AO58" s="2">
        <f t="shared" si="27"/>
        <v>998934.71</v>
      </c>
      <c r="AP58">
        <f t="shared" si="28"/>
        <v>998934.71</v>
      </c>
      <c r="AQ58" s="2">
        <f t="shared" si="29"/>
        <v>998929</v>
      </c>
      <c r="AR58">
        <f t="shared" si="30"/>
        <v>998929</v>
      </c>
      <c r="AT58" s="2">
        <f t="shared" si="31"/>
        <v>0</v>
      </c>
      <c r="AU58">
        <f t="shared" si="32"/>
        <v>1000000</v>
      </c>
      <c r="AV58" s="2">
        <f t="shared" si="33"/>
        <v>999062.77</v>
      </c>
      <c r="AW58">
        <f t="shared" si="34"/>
        <v>999062.77</v>
      </c>
      <c r="BG58" s="127" t="str">
        <f t="shared" si="37"/>
        <v>PORTER</v>
      </c>
      <c r="BH58" s="128"/>
      <c r="BI58" s="5">
        <f t="shared" si="38"/>
        <v>0</v>
      </c>
      <c r="BJ58" s="5">
        <f t="shared" si="39"/>
        <v>0</v>
      </c>
      <c r="BK58" s="5">
        <f t="shared" si="40"/>
        <v>0</v>
      </c>
      <c r="BN58" s="5">
        <f t="shared" si="41"/>
        <v>0</v>
      </c>
      <c r="BW58" s="5">
        <f t="shared" si="42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4"/>
        <v>6286.52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5"/>
        <v>0</v>
      </c>
      <c r="AK59" s="2">
        <f t="shared" si="25"/>
        <v>0</v>
      </c>
      <c r="AL59">
        <f t="shared" si="35"/>
        <v>1000000</v>
      </c>
      <c r="AM59" s="2">
        <f t="shared" si="26"/>
        <v>999062.77</v>
      </c>
      <c r="AN59">
        <f t="shared" si="36"/>
        <v>999062.77</v>
      </c>
      <c r="AO59" s="2">
        <f t="shared" si="27"/>
        <v>998934.71</v>
      </c>
      <c r="AP59">
        <f t="shared" si="28"/>
        <v>998934.71</v>
      </c>
      <c r="AQ59" s="2">
        <f t="shared" si="29"/>
        <v>998929</v>
      </c>
      <c r="AR59">
        <f t="shared" si="30"/>
        <v>998929</v>
      </c>
      <c r="AT59" s="2">
        <f t="shared" si="31"/>
        <v>0</v>
      </c>
      <c r="AU59">
        <f t="shared" si="32"/>
        <v>1000000</v>
      </c>
      <c r="AV59" s="2">
        <f t="shared" si="33"/>
        <v>999062.77</v>
      </c>
      <c r="AW59">
        <f t="shared" si="34"/>
        <v>999062.77</v>
      </c>
      <c r="BG59" s="127">
        <f t="shared" si="37"/>
        <v>0</v>
      </c>
      <c r="BH59" s="128"/>
      <c r="BI59" s="5">
        <f t="shared" si="38"/>
        <v>0</v>
      </c>
      <c r="BJ59" s="5">
        <f t="shared" si="39"/>
        <v>0</v>
      </c>
      <c r="BK59" s="5">
        <f t="shared" si="40"/>
        <v>0</v>
      </c>
      <c r="BN59" s="5">
        <f t="shared" si="41"/>
        <v>0</v>
      </c>
      <c r="BW59" s="5">
        <f t="shared" si="42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4"/>
        <v>6286.52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5"/>
        <v>0</v>
      </c>
      <c r="AK60" s="2">
        <f t="shared" si="25"/>
        <v>0</v>
      </c>
      <c r="AL60">
        <f t="shared" si="35"/>
        <v>1000000</v>
      </c>
      <c r="AM60" s="2">
        <f t="shared" si="26"/>
        <v>999062.77</v>
      </c>
      <c r="AN60">
        <f t="shared" si="36"/>
        <v>999062.77</v>
      </c>
      <c r="AO60" s="2">
        <f t="shared" si="27"/>
        <v>998934.71</v>
      </c>
      <c r="AP60">
        <f t="shared" si="28"/>
        <v>998934.71</v>
      </c>
      <c r="AQ60" s="2">
        <f t="shared" si="29"/>
        <v>998929</v>
      </c>
      <c r="AR60">
        <f t="shared" si="30"/>
        <v>998929</v>
      </c>
      <c r="AT60" s="2">
        <f t="shared" si="31"/>
        <v>0</v>
      </c>
      <c r="AU60">
        <f t="shared" si="32"/>
        <v>1000000</v>
      </c>
      <c r="AV60" s="2">
        <f t="shared" si="33"/>
        <v>999062.77</v>
      </c>
      <c r="AW60">
        <f t="shared" si="34"/>
        <v>999062.77</v>
      </c>
      <c r="BG60" s="127">
        <f t="shared" si="37"/>
        <v>0</v>
      </c>
      <c r="BH60" s="128"/>
      <c r="BI60" s="5">
        <f t="shared" si="38"/>
        <v>0</v>
      </c>
      <c r="BJ60" s="5">
        <f t="shared" si="39"/>
        <v>0</v>
      </c>
      <c r="BK60" s="5">
        <f t="shared" si="40"/>
        <v>0</v>
      </c>
      <c r="BN60" s="5">
        <f t="shared" si="41"/>
        <v>0</v>
      </c>
      <c r="BW60" s="5">
        <f t="shared" si="42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4"/>
        <v>6286.52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5"/>
        <v>0</v>
      </c>
      <c r="AK61" s="2">
        <f t="shared" si="25"/>
        <v>0</v>
      </c>
      <c r="AL61">
        <f t="shared" si="35"/>
        <v>1000000</v>
      </c>
      <c r="AM61" s="2">
        <f t="shared" si="26"/>
        <v>999062.77</v>
      </c>
      <c r="AN61">
        <f t="shared" si="36"/>
        <v>999062.77</v>
      </c>
      <c r="AO61" s="2">
        <f t="shared" si="27"/>
        <v>998934.71</v>
      </c>
      <c r="AP61">
        <f t="shared" si="28"/>
        <v>998934.71</v>
      </c>
      <c r="AQ61" s="2">
        <f t="shared" si="29"/>
        <v>998929</v>
      </c>
      <c r="AR61">
        <f t="shared" si="30"/>
        <v>998929</v>
      </c>
      <c r="AT61" s="2">
        <f t="shared" si="31"/>
        <v>0</v>
      </c>
      <c r="AU61">
        <f t="shared" si="32"/>
        <v>1000000</v>
      </c>
      <c r="AV61" s="2">
        <f t="shared" si="33"/>
        <v>999062.77</v>
      </c>
      <c r="AW61">
        <f t="shared" si="34"/>
        <v>999062.77</v>
      </c>
      <c r="BG61" s="127">
        <f t="shared" si="37"/>
        <v>0</v>
      </c>
      <c r="BH61" s="128"/>
      <c r="BI61" s="5">
        <f t="shared" si="38"/>
        <v>0</v>
      </c>
      <c r="BJ61" s="5">
        <f t="shared" si="39"/>
        <v>0</v>
      </c>
      <c r="BK61" s="5">
        <f t="shared" si="40"/>
        <v>0</v>
      </c>
      <c r="BN61" s="5">
        <f t="shared" si="41"/>
        <v>0</v>
      </c>
      <c r="BW61" s="5">
        <f t="shared" si="42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4"/>
        <v>6286.52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5"/>
        <v>0</v>
      </c>
      <c r="AK62" s="2">
        <f t="shared" si="25"/>
        <v>0</v>
      </c>
      <c r="AL62">
        <f t="shared" si="35"/>
        <v>1000000</v>
      </c>
      <c r="AM62" s="2">
        <f t="shared" si="26"/>
        <v>999062.77</v>
      </c>
      <c r="AN62">
        <f t="shared" si="36"/>
        <v>999062.77</v>
      </c>
      <c r="AO62" s="2">
        <f t="shared" si="27"/>
        <v>998934.71</v>
      </c>
      <c r="AP62">
        <f t="shared" si="28"/>
        <v>998934.71</v>
      </c>
      <c r="AQ62" s="2">
        <f t="shared" si="29"/>
        <v>998929</v>
      </c>
      <c r="AR62">
        <f t="shared" si="30"/>
        <v>998929</v>
      </c>
      <c r="AT62" s="2">
        <f t="shared" si="31"/>
        <v>0</v>
      </c>
      <c r="AU62">
        <f t="shared" si="32"/>
        <v>1000000</v>
      </c>
      <c r="AV62" s="2">
        <f t="shared" si="33"/>
        <v>999062.77</v>
      </c>
      <c r="AW62">
        <f t="shared" si="34"/>
        <v>999062.77</v>
      </c>
      <c r="BG62" s="127">
        <f t="shared" si="37"/>
        <v>0</v>
      </c>
      <c r="BH62" s="128"/>
      <c r="BI62" s="5">
        <f t="shared" si="38"/>
        <v>0</v>
      </c>
      <c r="BJ62" s="5">
        <f t="shared" si="39"/>
        <v>0</v>
      </c>
      <c r="BK62" s="5">
        <f t="shared" si="40"/>
        <v>0</v>
      </c>
      <c r="BN62" s="5">
        <f t="shared" si="41"/>
        <v>0</v>
      </c>
      <c r="BW62" s="5">
        <f t="shared" si="42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4"/>
        <v>6286.52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5"/>
        <v>0</v>
      </c>
      <c r="AK63" s="2">
        <f t="shared" si="25"/>
        <v>0</v>
      </c>
      <c r="AL63">
        <f t="shared" si="35"/>
        <v>1000000</v>
      </c>
      <c r="AM63" s="2">
        <f t="shared" si="26"/>
        <v>999062.77</v>
      </c>
      <c r="AN63">
        <f t="shared" si="36"/>
        <v>999062.77</v>
      </c>
      <c r="AO63" s="2">
        <f t="shared" si="27"/>
        <v>998934.71</v>
      </c>
      <c r="AP63">
        <f t="shared" si="28"/>
        <v>998934.71</v>
      </c>
      <c r="AQ63" s="2">
        <f t="shared" si="29"/>
        <v>998929</v>
      </c>
      <c r="AR63">
        <f t="shared" si="30"/>
        <v>998929</v>
      </c>
      <c r="AT63" s="2">
        <f t="shared" si="31"/>
        <v>0</v>
      </c>
      <c r="AU63">
        <f t="shared" si="32"/>
        <v>1000000</v>
      </c>
      <c r="AV63" s="2">
        <f t="shared" si="33"/>
        <v>999062.77</v>
      </c>
      <c r="AW63">
        <f t="shared" si="34"/>
        <v>999062.77</v>
      </c>
      <c r="BG63" s="127">
        <f t="shared" si="37"/>
        <v>0</v>
      </c>
      <c r="BH63" s="128"/>
      <c r="BI63" s="5">
        <f t="shared" si="38"/>
        <v>0</v>
      </c>
      <c r="BJ63" s="5">
        <f t="shared" si="39"/>
        <v>0</v>
      </c>
      <c r="BK63" s="5">
        <f t="shared" si="40"/>
        <v>0</v>
      </c>
      <c r="BN63" s="5">
        <f t="shared" si="41"/>
        <v>0</v>
      </c>
      <c r="BW63" s="5">
        <f t="shared" si="42"/>
        <v>0</v>
      </c>
    </row>
    <row r="64" spans="26:75" ht="15" customHeight="1" x14ac:dyDescent="0.25">
      <c r="AJ64">
        <f t="shared" ref="AJ64:AK67" si="43">Z30</f>
        <v>0</v>
      </c>
      <c r="AK64" s="2">
        <f t="shared" si="43"/>
        <v>0</v>
      </c>
      <c r="AL64">
        <f t="shared" si="35"/>
        <v>1000000</v>
      </c>
      <c r="AM64" s="2">
        <f t="shared" si="26"/>
        <v>999062.77</v>
      </c>
      <c r="AN64">
        <f t="shared" si="36"/>
        <v>999062.77</v>
      </c>
      <c r="AO64" s="2">
        <f t="shared" si="27"/>
        <v>998934.71</v>
      </c>
      <c r="AP64">
        <f t="shared" si="28"/>
        <v>998934.71</v>
      </c>
      <c r="AQ64" s="2">
        <f t="shared" si="29"/>
        <v>998929</v>
      </c>
      <c r="AR64">
        <f t="shared" si="30"/>
        <v>998929</v>
      </c>
      <c r="AT64" s="2">
        <f t="shared" si="31"/>
        <v>0</v>
      </c>
      <c r="AU64">
        <f t="shared" si="32"/>
        <v>1000000</v>
      </c>
      <c r="AV64" s="2">
        <f t="shared" si="33"/>
        <v>999062.77</v>
      </c>
      <c r="AW64">
        <f t="shared" si="34"/>
        <v>999062.77</v>
      </c>
      <c r="BG64" s="127">
        <f t="shared" si="37"/>
        <v>0</v>
      </c>
      <c r="BH64" s="128"/>
      <c r="BI64" s="5">
        <f t="shared" si="38"/>
        <v>0</v>
      </c>
      <c r="BJ64" s="5">
        <f t="shared" si="39"/>
        <v>0</v>
      </c>
      <c r="BK64" s="5">
        <f t="shared" si="40"/>
        <v>0</v>
      </c>
      <c r="BN64" s="5">
        <f t="shared" si="41"/>
        <v>0</v>
      </c>
      <c r="BW64" s="5">
        <f t="shared" si="42"/>
        <v>0</v>
      </c>
    </row>
    <row r="65" spans="36:75" x14ac:dyDescent="0.25">
      <c r="AJ65">
        <f t="shared" si="43"/>
        <v>0</v>
      </c>
      <c r="AK65" s="2">
        <f t="shared" si="43"/>
        <v>0</v>
      </c>
      <c r="AL65">
        <f t="shared" si="35"/>
        <v>1000000</v>
      </c>
      <c r="AM65" s="2">
        <f t="shared" si="26"/>
        <v>999062.77</v>
      </c>
      <c r="AN65">
        <f t="shared" si="36"/>
        <v>999062.77</v>
      </c>
      <c r="AO65" s="2">
        <f t="shared" si="27"/>
        <v>998934.71</v>
      </c>
      <c r="AP65">
        <f t="shared" si="28"/>
        <v>998934.71</v>
      </c>
      <c r="AQ65" s="2">
        <f t="shared" si="29"/>
        <v>998929</v>
      </c>
      <c r="AR65">
        <f t="shared" si="30"/>
        <v>998929</v>
      </c>
      <c r="AT65" s="2">
        <f t="shared" si="31"/>
        <v>0</v>
      </c>
      <c r="AU65">
        <f t="shared" si="32"/>
        <v>1000000</v>
      </c>
      <c r="AV65" s="2">
        <f t="shared" si="33"/>
        <v>999062.77</v>
      </c>
      <c r="AW65">
        <f t="shared" si="34"/>
        <v>999062.77</v>
      </c>
      <c r="BG65" s="127">
        <f t="shared" si="37"/>
        <v>0</v>
      </c>
      <c r="BH65" s="128"/>
      <c r="BI65" s="5">
        <f t="shared" si="38"/>
        <v>0</v>
      </c>
      <c r="BJ65" s="5">
        <f t="shared" si="39"/>
        <v>0</v>
      </c>
      <c r="BK65" s="5">
        <f t="shared" si="40"/>
        <v>0</v>
      </c>
      <c r="BN65" s="5">
        <f t="shared" si="41"/>
        <v>0</v>
      </c>
      <c r="BW65" s="5">
        <f t="shared" si="42"/>
        <v>0</v>
      </c>
    </row>
    <row r="66" spans="36:75" ht="14.25" customHeight="1" x14ac:dyDescent="0.25">
      <c r="AJ66">
        <f t="shared" si="43"/>
        <v>0</v>
      </c>
      <c r="AK66" s="2">
        <f t="shared" si="43"/>
        <v>0</v>
      </c>
      <c r="AL66">
        <f t="shared" si="35"/>
        <v>1000000</v>
      </c>
      <c r="AM66" s="2">
        <f t="shared" si="26"/>
        <v>999062.77</v>
      </c>
      <c r="AN66">
        <f t="shared" si="36"/>
        <v>999062.77</v>
      </c>
      <c r="AO66" s="2">
        <f t="shared" si="27"/>
        <v>998934.71</v>
      </c>
      <c r="AP66">
        <f t="shared" si="28"/>
        <v>998934.71</v>
      </c>
      <c r="AQ66" s="2">
        <f t="shared" si="29"/>
        <v>998929</v>
      </c>
      <c r="AR66">
        <f t="shared" si="30"/>
        <v>998929</v>
      </c>
      <c r="AT66" s="2">
        <f t="shared" si="31"/>
        <v>0</v>
      </c>
      <c r="AU66">
        <f t="shared" si="32"/>
        <v>1000000</v>
      </c>
      <c r="AV66" s="2">
        <f t="shared" si="33"/>
        <v>999062.77</v>
      </c>
      <c r="AW66">
        <f t="shared" si="34"/>
        <v>999062.77</v>
      </c>
      <c r="BG66" s="127">
        <f t="shared" si="37"/>
        <v>0</v>
      </c>
      <c r="BH66" s="128"/>
      <c r="BI66" s="5">
        <f t="shared" si="38"/>
        <v>0</v>
      </c>
      <c r="BJ66" s="5">
        <f t="shared" si="39"/>
        <v>0</v>
      </c>
      <c r="BK66" s="5">
        <f t="shared" si="40"/>
        <v>0</v>
      </c>
      <c r="BN66" s="5">
        <f t="shared" si="41"/>
        <v>0</v>
      </c>
      <c r="BW66" s="5">
        <f t="shared" si="42"/>
        <v>0</v>
      </c>
    </row>
    <row r="67" spans="36:75" x14ac:dyDescent="0.25">
      <c r="AJ67">
        <f t="shared" si="43"/>
        <v>0</v>
      </c>
      <c r="AK67" s="2">
        <f t="shared" si="43"/>
        <v>0</v>
      </c>
      <c r="AL67">
        <f t="shared" si="35"/>
        <v>1000000</v>
      </c>
      <c r="AM67" s="2">
        <f t="shared" si="26"/>
        <v>999062.77</v>
      </c>
      <c r="AN67">
        <f t="shared" si="36"/>
        <v>999062.77</v>
      </c>
      <c r="AO67" s="2">
        <f t="shared" si="27"/>
        <v>998934.71</v>
      </c>
      <c r="AP67">
        <f t="shared" si="28"/>
        <v>998934.71</v>
      </c>
      <c r="AQ67" s="2">
        <f t="shared" si="29"/>
        <v>998929</v>
      </c>
      <c r="AR67">
        <f t="shared" si="30"/>
        <v>998929</v>
      </c>
      <c r="AT67" s="2">
        <f t="shared" si="31"/>
        <v>0</v>
      </c>
      <c r="AU67">
        <f t="shared" si="32"/>
        <v>1000000</v>
      </c>
      <c r="AV67" s="2">
        <f t="shared" si="33"/>
        <v>999062.77</v>
      </c>
      <c r="AW67">
        <f t="shared" si="34"/>
        <v>999062.77</v>
      </c>
      <c r="BG67" s="127">
        <f t="shared" si="37"/>
        <v>0</v>
      </c>
      <c r="BH67" s="128"/>
      <c r="BI67" s="5">
        <f t="shared" si="38"/>
        <v>0</v>
      </c>
      <c r="BJ67" s="5">
        <f t="shared" si="39"/>
        <v>0</v>
      </c>
      <c r="BK67" s="5">
        <f t="shared" si="40"/>
        <v>0</v>
      </c>
      <c r="BN67" s="5">
        <f t="shared" si="41"/>
        <v>0</v>
      </c>
      <c r="BW67" s="5">
        <f t="shared" si="42"/>
        <v>0</v>
      </c>
    </row>
    <row r="68" spans="36:75" x14ac:dyDescent="0.25">
      <c r="BG68" s="129">
        <f t="shared" si="37"/>
        <v>0</v>
      </c>
      <c r="BH68" s="130"/>
      <c r="BI68" s="5">
        <f t="shared" si="38"/>
        <v>0</v>
      </c>
      <c r="BJ68" s="5">
        <f t="shared" si="39"/>
        <v>0</v>
      </c>
      <c r="BK68" s="5">
        <f t="shared" si="40"/>
        <v>0</v>
      </c>
      <c r="BN68" s="5">
        <f t="shared" si="41"/>
        <v>0</v>
      </c>
      <c r="BW68" s="5">
        <f t="shared" si="42"/>
        <v>0</v>
      </c>
    </row>
    <row r="69" spans="36:75" ht="12.75" customHeight="1" x14ac:dyDescent="0.25">
      <c r="BG69" t="s">
        <v>219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36:75" x14ac:dyDescent="0.25">
      <c r="BK70" s="5">
        <f>BG27+CE29</f>
        <v>0</v>
      </c>
    </row>
    <row r="82" spans="41:46" x14ac:dyDescent="0.25">
      <c r="AO82" s="5">
        <f>IF(AO20&lt;&gt;0,1,0)</f>
        <v>1</v>
      </c>
      <c r="AP82" s="5"/>
      <c r="AQ82" s="5">
        <f t="shared" ref="AQ82:AR88" si="44">IF(AQ20&lt;&gt;0,1,0)</f>
        <v>0</v>
      </c>
      <c r="AR82" s="19">
        <f t="shared" si="44"/>
        <v>0</v>
      </c>
      <c r="AS82" s="19"/>
      <c r="AT82" s="5">
        <f>SUM(AO82:AR82)</f>
        <v>1</v>
      </c>
    </row>
    <row r="83" spans="41:46" x14ac:dyDescent="0.25">
      <c r="AO83" s="5">
        <f t="shared" ref="AO83:AO88" si="45">IF(AO21&lt;&gt;0,1,0)</f>
        <v>0</v>
      </c>
      <c r="AP83" s="5"/>
      <c r="AQ83" s="5">
        <f t="shared" si="44"/>
        <v>0</v>
      </c>
      <c r="AR83" s="19">
        <f t="shared" si="44"/>
        <v>0</v>
      </c>
      <c r="AS83" s="19"/>
      <c r="AT83" s="5">
        <f t="shared" ref="AT83:AT88" si="46">SUM(AO83:AR83)</f>
        <v>0</v>
      </c>
    </row>
    <row r="84" spans="41:46" x14ac:dyDescent="0.25">
      <c r="AO84" s="5">
        <f t="shared" si="45"/>
        <v>0</v>
      </c>
      <c r="AP84" s="5"/>
      <c r="AQ84" s="5">
        <f t="shared" si="44"/>
        <v>0</v>
      </c>
      <c r="AR84" s="19">
        <f t="shared" si="44"/>
        <v>0</v>
      </c>
      <c r="AS84" s="19"/>
      <c r="AT84" s="5">
        <f t="shared" si="46"/>
        <v>0</v>
      </c>
    </row>
    <row r="85" spans="41:46" x14ac:dyDescent="0.25">
      <c r="AO85" s="5">
        <f t="shared" si="45"/>
        <v>0</v>
      </c>
      <c r="AP85" s="5"/>
      <c r="AQ85" s="5">
        <f t="shared" si="44"/>
        <v>0</v>
      </c>
      <c r="AR85" s="19">
        <f t="shared" si="44"/>
        <v>0</v>
      </c>
      <c r="AS85" s="19"/>
      <c r="AT85" s="5">
        <f t="shared" si="46"/>
        <v>0</v>
      </c>
    </row>
    <row r="86" spans="41:46" x14ac:dyDescent="0.25">
      <c r="AO86" s="5">
        <f t="shared" si="45"/>
        <v>1</v>
      </c>
      <c r="AP86" s="5"/>
      <c r="AQ86" s="5">
        <f t="shared" si="44"/>
        <v>0</v>
      </c>
      <c r="AR86" s="19">
        <f t="shared" si="44"/>
        <v>0</v>
      </c>
      <c r="AS86" s="19"/>
      <c r="AT86" s="5">
        <f t="shared" si="46"/>
        <v>1</v>
      </c>
    </row>
    <row r="87" spans="41:46" x14ac:dyDescent="0.25">
      <c r="AO87" s="5">
        <f t="shared" si="45"/>
        <v>0</v>
      </c>
      <c r="AP87" s="5"/>
      <c r="AQ87" s="5">
        <f t="shared" si="44"/>
        <v>0</v>
      </c>
      <c r="AR87" s="19">
        <f t="shared" si="44"/>
        <v>0</v>
      </c>
      <c r="AS87" s="19"/>
      <c r="AT87" s="5">
        <f t="shared" si="46"/>
        <v>0</v>
      </c>
    </row>
    <row r="88" spans="41:46" x14ac:dyDescent="0.25">
      <c r="AO88" s="5">
        <f t="shared" si="45"/>
        <v>0</v>
      </c>
      <c r="AP88" s="5"/>
      <c r="AQ88" s="5">
        <f t="shared" si="44"/>
        <v>0</v>
      </c>
      <c r="AR88" s="19">
        <f t="shared" si="44"/>
        <v>0</v>
      </c>
      <c r="AS88" s="19"/>
      <c r="AT88" s="5">
        <f t="shared" si="46"/>
        <v>0</v>
      </c>
    </row>
    <row r="89" spans="41:46" x14ac:dyDescent="0.25">
      <c r="AT89" s="5">
        <f>SUM(AT82:AT88)</f>
        <v>2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271</v>
      </c>
      <c r="DF210" s="231" t="s">
        <v>221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V11</f>
        <v>0</v>
      </c>
      <c r="DF211" s="233">
        <f>W11</f>
        <v>0</v>
      </c>
    </row>
    <row r="212" spans="105:110" ht="15.5" x14ac:dyDescent="0.35">
      <c r="DA212" s="232" t="str">
        <f t="shared" ref="DA212:DA230" si="47">IF(A12="Elected","E",IF(A12="Excluded","Excluded",""))&amp;IF(B12&gt;0,B12,"")</f>
        <v>Excluded</v>
      </c>
      <c r="DB212" s="232" t="str">
        <f t="shared" ref="DB212:DD227" si="48">C12</f>
        <v>FLYNN</v>
      </c>
      <c r="DC212" s="232" t="str">
        <f t="shared" si="48"/>
        <v>Sinn Féin</v>
      </c>
      <c r="DD212" s="233">
        <f t="shared" si="48"/>
        <v>493</v>
      </c>
      <c r="DE212" s="233">
        <f t="shared" ref="DE212:DF212" si="49">V12</f>
        <v>0</v>
      </c>
      <c r="DF212" s="233">
        <f t="shared" si="49"/>
        <v>0</v>
      </c>
    </row>
    <row r="213" spans="105:110" ht="15.5" x14ac:dyDescent="0.35">
      <c r="DA213" s="232" t="str">
        <f t="shared" si="47"/>
        <v>Excluded</v>
      </c>
      <c r="DB213" s="232" t="str">
        <f t="shared" si="48"/>
        <v>FRENCH</v>
      </c>
      <c r="DC213" s="232" t="str">
        <f t="shared" si="48"/>
        <v xml:space="preserve">SDLP </v>
      </c>
      <c r="DD213" s="233">
        <f t="shared" si="48"/>
        <v>472</v>
      </c>
      <c r="DE213" s="233">
        <f t="shared" ref="DE213:DF213" si="50">V13</f>
        <v>0</v>
      </c>
      <c r="DF213" s="233">
        <f t="shared" si="50"/>
        <v>0</v>
      </c>
    </row>
    <row r="214" spans="105:110" ht="15.5" x14ac:dyDescent="0.35">
      <c r="DA214" s="232" t="str">
        <f t="shared" si="47"/>
        <v>E3</v>
      </c>
      <c r="DB214" s="232" t="str">
        <f t="shared" si="48"/>
        <v>GIVAN</v>
      </c>
      <c r="DC214" s="232" t="str">
        <f t="shared" si="48"/>
        <v>D.U.P.</v>
      </c>
      <c r="DD214" s="233">
        <f t="shared" si="48"/>
        <v>1038</v>
      </c>
      <c r="DE214" s="233">
        <f t="shared" ref="DE214:DF214" si="51">V14</f>
        <v>0</v>
      </c>
      <c r="DF214" s="233">
        <f t="shared" si="51"/>
        <v>0</v>
      </c>
    </row>
    <row r="215" spans="105:110" ht="15.5" x14ac:dyDescent="0.35">
      <c r="DA215" s="232" t="str">
        <f t="shared" si="47"/>
        <v>E2</v>
      </c>
      <c r="DB215" s="232" t="str">
        <f t="shared" si="48"/>
        <v>GREHAN</v>
      </c>
      <c r="DC215" s="232" t="str">
        <f t="shared" si="48"/>
        <v>Alliance Party</v>
      </c>
      <c r="DD215" s="233">
        <f t="shared" si="48"/>
        <v>1111</v>
      </c>
      <c r="DE215" s="233">
        <f t="shared" ref="DE215:DF215" si="52">V15</f>
        <v>0</v>
      </c>
      <c r="DF215" s="233">
        <f t="shared" si="52"/>
        <v>0</v>
      </c>
    </row>
    <row r="216" spans="105:110" ht="15.5" x14ac:dyDescent="0.35">
      <c r="DA216" s="232" t="str">
        <f t="shared" si="47"/>
        <v>E4</v>
      </c>
      <c r="DB216" s="232" t="str">
        <f t="shared" si="48"/>
        <v>KENNEDY</v>
      </c>
      <c r="DC216" s="232" t="str">
        <f t="shared" si="48"/>
        <v>Alliance Party</v>
      </c>
      <c r="DD216" s="233">
        <f t="shared" si="48"/>
        <v>674</v>
      </c>
      <c r="DE216" s="233">
        <f t="shared" ref="DE216:DF216" si="53">V16</f>
        <v>0</v>
      </c>
      <c r="DF216" s="233">
        <f t="shared" si="53"/>
        <v>0</v>
      </c>
    </row>
    <row r="217" spans="105:110" ht="15.5" x14ac:dyDescent="0.35">
      <c r="DA217" s="232" t="str">
        <f t="shared" si="47"/>
        <v>Excluded</v>
      </c>
      <c r="DB217" s="232" t="str">
        <f t="shared" si="48"/>
        <v>MCEVOY</v>
      </c>
      <c r="DC217" s="232" t="str">
        <f t="shared" si="48"/>
        <v xml:space="preserve">TUV </v>
      </c>
      <c r="DD217" s="233">
        <f t="shared" si="48"/>
        <v>387</v>
      </c>
      <c r="DE217" s="233">
        <f t="shared" ref="DE217:DF217" si="54">V17</f>
        <v>0</v>
      </c>
      <c r="DF217" s="233">
        <f t="shared" si="54"/>
        <v>0</v>
      </c>
    </row>
    <row r="218" spans="105:110" ht="15.5" x14ac:dyDescent="0.35">
      <c r="DA218" s="232" t="str">
        <f t="shared" si="47"/>
        <v>5</v>
      </c>
      <c r="DB218" s="232" t="str">
        <f t="shared" si="48"/>
        <v>MITCHELL</v>
      </c>
      <c r="DC218" s="232" t="str">
        <f t="shared" si="48"/>
        <v>UUP</v>
      </c>
      <c r="DD218" s="233">
        <f t="shared" si="48"/>
        <v>870</v>
      </c>
      <c r="DE218" s="233">
        <f t="shared" ref="DE218:DF218" si="55">V18</f>
        <v>0</v>
      </c>
      <c r="DF218" s="233">
        <f t="shared" si="55"/>
        <v>0</v>
      </c>
    </row>
    <row r="219" spans="105:110" ht="15.5" x14ac:dyDescent="0.35">
      <c r="DA219" s="232" t="str">
        <f t="shared" si="47"/>
        <v>Excluded</v>
      </c>
      <c r="DB219" s="232" t="str">
        <f t="shared" si="48"/>
        <v>PALMER</v>
      </c>
      <c r="DC219" s="232" t="str">
        <f t="shared" si="48"/>
        <v>UUP</v>
      </c>
      <c r="DD219" s="233">
        <f t="shared" si="48"/>
        <v>625</v>
      </c>
      <c r="DE219" s="233">
        <f t="shared" ref="DE219:DF219" si="56">V19</f>
        <v>0</v>
      </c>
      <c r="DF219" s="233">
        <f t="shared" si="56"/>
        <v>0</v>
      </c>
    </row>
    <row r="220" spans="105:110" ht="15.5" x14ac:dyDescent="0.35">
      <c r="DA220" s="232" t="str">
        <f t="shared" si="47"/>
        <v>6</v>
      </c>
      <c r="DB220" s="232" t="str">
        <f t="shared" si="48"/>
        <v>PORTER</v>
      </c>
      <c r="DC220" s="232" t="str">
        <f t="shared" si="48"/>
        <v>D.U.P.</v>
      </c>
      <c r="DD220" s="233">
        <f t="shared" si="48"/>
        <v>687</v>
      </c>
      <c r="DE220" s="233">
        <f t="shared" ref="DE220:DF220" si="57">V20</f>
        <v>0</v>
      </c>
      <c r="DF220" s="233">
        <f t="shared" si="57"/>
        <v>0</v>
      </c>
    </row>
    <row r="221" spans="105:110" ht="15.5" x14ac:dyDescent="0.35">
      <c r="DA221" s="232" t="str">
        <f t="shared" si="47"/>
        <v/>
      </c>
      <c r="DB221" s="232">
        <f t="shared" si="48"/>
        <v>0</v>
      </c>
      <c r="DC221" s="232">
        <f t="shared" si="48"/>
        <v>0</v>
      </c>
      <c r="DD221" s="233">
        <f t="shared" si="48"/>
        <v>0</v>
      </c>
      <c r="DE221" s="233">
        <f t="shared" ref="DE221:DF221" si="58">V21</f>
        <v>0</v>
      </c>
      <c r="DF221" s="233">
        <f t="shared" si="58"/>
        <v>0</v>
      </c>
    </row>
    <row r="222" spans="105:110" ht="15.5" x14ac:dyDescent="0.35">
      <c r="DA222" s="232" t="str">
        <f t="shared" si="47"/>
        <v/>
      </c>
      <c r="DB222" s="232">
        <f t="shared" si="48"/>
        <v>0</v>
      </c>
      <c r="DC222" s="232">
        <f t="shared" si="48"/>
        <v>0</v>
      </c>
      <c r="DD222" s="233">
        <f t="shared" si="48"/>
        <v>0</v>
      </c>
      <c r="DE222" s="233">
        <f t="shared" ref="DE222:DF222" si="59">V22</f>
        <v>0</v>
      </c>
      <c r="DF222" s="233">
        <f t="shared" si="59"/>
        <v>0</v>
      </c>
    </row>
    <row r="223" spans="105:110" ht="15.5" x14ac:dyDescent="0.35">
      <c r="DA223" s="232" t="str">
        <f t="shared" si="47"/>
        <v/>
      </c>
      <c r="DB223" s="232">
        <f t="shared" si="48"/>
        <v>0</v>
      </c>
      <c r="DC223" s="232">
        <f t="shared" si="48"/>
        <v>0</v>
      </c>
      <c r="DD223" s="233">
        <f t="shared" si="48"/>
        <v>0</v>
      </c>
      <c r="DE223" s="233">
        <f t="shared" ref="DE223:DF223" si="60">V23</f>
        <v>0</v>
      </c>
      <c r="DF223" s="233">
        <f t="shared" si="60"/>
        <v>0</v>
      </c>
    </row>
    <row r="224" spans="105:110" ht="15.5" x14ac:dyDescent="0.35">
      <c r="DA224" s="232" t="str">
        <f t="shared" si="47"/>
        <v/>
      </c>
      <c r="DB224" s="232">
        <f t="shared" si="48"/>
        <v>0</v>
      </c>
      <c r="DC224" s="232">
        <f t="shared" si="48"/>
        <v>0</v>
      </c>
      <c r="DD224" s="233">
        <f t="shared" si="48"/>
        <v>0</v>
      </c>
      <c r="DE224" s="233">
        <f t="shared" ref="DE224:DF224" si="61">V24</f>
        <v>0</v>
      </c>
      <c r="DF224" s="233">
        <f t="shared" si="61"/>
        <v>0</v>
      </c>
    </row>
    <row r="225" spans="105:110" ht="15.5" x14ac:dyDescent="0.35">
      <c r="DA225" s="232" t="str">
        <f t="shared" si="47"/>
        <v/>
      </c>
      <c r="DB225" s="232">
        <f t="shared" si="48"/>
        <v>0</v>
      </c>
      <c r="DC225" s="232">
        <f t="shared" si="48"/>
        <v>0</v>
      </c>
      <c r="DD225" s="233">
        <f t="shared" si="48"/>
        <v>0</v>
      </c>
      <c r="DE225" s="233">
        <f t="shared" ref="DE225:DF225" si="62">V25</f>
        <v>0</v>
      </c>
      <c r="DF225" s="233">
        <f t="shared" si="62"/>
        <v>0</v>
      </c>
    </row>
    <row r="226" spans="105:110" ht="15.5" x14ac:dyDescent="0.35">
      <c r="DA226" s="232" t="str">
        <f t="shared" si="47"/>
        <v/>
      </c>
      <c r="DB226" s="232">
        <f t="shared" si="48"/>
        <v>0</v>
      </c>
      <c r="DC226" s="232">
        <f t="shared" si="48"/>
        <v>0</v>
      </c>
      <c r="DD226" s="233">
        <f t="shared" si="48"/>
        <v>0</v>
      </c>
      <c r="DE226" s="233">
        <f t="shared" ref="DE226:DF226" si="63">V26</f>
        <v>0</v>
      </c>
      <c r="DF226" s="233">
        <f t="shared" si="63"/>
        <v>0</v>
      </c>
    </row>
    <row r="227" spans="105:110" ht="15.5" x14ac:dyDescent="0.35">
      <c r="DA227" s="232" t="str">
        <f t="shared" si="47"/>
        <v/>
      </c>
      <c r="DB227" s="232">
        <f t="shared" si="48"/>
        <v>0</v>
      </c>
      <c r="DC227" s="232">
        <f t="shared" si="48"/>
        <v>0</v>
      </c>
      <c r="DD227" s="233">
        <f t="shared" si="48"/>
        <v>0</v>
      </c>
      <c r="DE227" s="233">
        <f t="shared" ref="DE227:DF227" si="64">V27</f>
        <v>0</v>
      </c>
      <c r="DF227" s="233">
        <f t="shared" si="64"/>
        <v>0</v>
      </c>
    </row>
    <row r="228" spans="105:110" ht="15.5" x14ac:dyDescent="0.35">
      <c r="DA228" s="232" t="str">
        <f t="shared" si="47"/>
        <v/>
      </c>
      <c r="DB228" s="232">
        <f t="shared" ref="DB228:DD230" si="65">C28</f>
        <v>0</v>
      </c>
      <c r="DC228" s="232">
        <f t="shared" si="65"/>
        <v>0</v>
      </c>
      <c r="DD228" s="233">
        <f t="shared" si="65"/>
        <v>0</v>
      </c>
      <c r="DE228" s="233">
        <f t="shared" ref="DE228:DF228" si="66">V28</f>
        <v>0</v>
      </c>
      <c r="DF228" s="233">
        <f t="shared" si="66"/>
        <v>0</v>
      </c>
    </row>
    <row r="229" spans="105:110" ht="15.5" x14ac:dyDescent="0.35">
      <c r="DA229" s="232" t="str">
        <f t="shared" si="47"/>
        <v/>
      </c>
      <c r="DB229" s="232">
        <f t="shared" si="65"/>
        <v>0</v>
      </c>
      <c r="DC229" s="232">
        <f t="shared" si="65"/>
        <v>0</v>
      </c>
      <c r="DD229" s="233">
        <f t="shared" si="65"/>
        <v>0</v>
      </c>
      <c r="DE229" s="233">
        <f t="shared" ref="DE229:DF229" si="67">V29</f>
        <v>0</v>
      </c>
      <c r="DF229" s="233">
        <f t="shared" si="67"/>
        <v>0</v>
      </c>
    </row>
    <row r="230" spans="105:110" ht="15.5" x14ac:dyDescent="0.35">
      <c r="DA230" s="232" t="str">
        <f t="shared" si="47"/>
        <v/>
      </c>
      <c r="DB230" s="232">
        <f t="shared" si="65"/>
        <v>0</v>
      </c>
      <c r="DC230" s="232">
        <f t="shared" si="65"/>
        <v>0</v>
      </c>
      <c r="DD230" s="233">
        <f t="shared" si="65"/>
        <v>0</v>
      </c>
      <c r="DE230" s="233">
        <f t="shared" ref="DE230:DF230" si="68">V30</f>
        <v>0</v>
      </c>
      <c r="DF230" s="233">
        <f t="shared" si="68"/>
        <v>0</v>
      </c>
    </row>
    <row r="231" spans="105:110" ht="15.5" x14ac:dyDescent="0.35">
      <c r="DC231" s="234" t="s">
        <v>123</v>
      </c>
      <c r="DD231" s="234"/>
      <c r="DE231" s="233">
        <f t="shared" ref="DE231:DF231" si="69">V31</f>
        <v>0</v>
      </c>
      <c r="DF231" s="233">
        <f t="shared" si="69"/>
        <v>0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 t="shared" ref="DF232" si="70">W32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W34:W36" name="Range1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AQ5" name="Range3_1"/>
  </protectedRanges>
  <mergeCells count="84">
    <mergeCell ref="CB31:CE32"/>
    <mergeCell ref="AL31:AQ32"/>
    <mergeCell ref="BF30:BG32"/>
    <mergeCell ref="BI30:BK31"/>
    <mergeCell ref="BX30:BY32"/>
    <mergeCell ref="AO23:AP23"/>
    <mergeCell ref="AL28:AQ29"/>
    <mergeCell ref="AJ25:AK25"/>
    <mergeCell ref="AJ24:AK24"/>
    <mergeCell ref="AO24:AP24"/>
    <mergeCell ref="F7:G7"/>
    <mergeCell ref="H7:I7"/>
    <mergeCell ref="U4:W4"/>
    <mergeCell ref="AO25:AP25"/>
    <mergeCell ref="AJ20:AK20"/>
    <mergeCell ref="AO20:AP20"/>
    <mergeCell ref="Z6:AF7"/>
    <mergeCell ref="AP13:AP17"/>
    <mergeCell ref="J8:K8"/>
    <mergeCell ref="L8:M8"/>
    <mergeCell ref="N8:O8"/>
    <mergeCell ref="J6:K6"/>
    <mergeCell ref="J7:K7"/>
    <mergeCell ref="L6:M6"/>
    <mergeCell ref="N6:O6"/>
    <mergeCell ref="N7:O7"/>
    <mergeCell ref="K1:L1"/>
    <mergeCell ref="H3:I3"/>
    <mergeCell ref="O4:S4"/>
    <mergeCell ref="O3:S3"/>
    <mergeCell ref="H4:I4"/>
    <mergeCell ref="E3:F3"/>
    <mergeCell ref="O2:S2"/>
    <mergeCell ref="AK6:AP7"/>
    <mergeCell ref="Z3:AF3"/>
    <mergeCell ref="AM13:AM17"/>
    <mergeCell ref="AO13:AO17"/>
    <mergeCell ref="F8:G8"/>
    <mergeCell ref="H8:I8"/>
    <mergeCell ref="Z4:AF4"/>
    <mergeCell ref="L7:M7"/>
    <mergeCell ref="Z2:AF2"/>
    <mergeCell ref="V6:W6"/>
    <mergeCell ref="V7:W7"/>
    <mergeCell ref="E4:F4"/>
    <mergeCell ref="F6:G6"/>
    <mergeCell ref="H6:I6"/>
    <mergeCell ref="T6:U6"/>
    <mergeCell ref="T7:U7"/>
    <mergeCell ref="T8:U8"/>
    <mergeCell ref="CB2:CE2"/>
    <mergeCell ref="BI3:BK3"/>
    <mergeCell ref="BI2:BK2"/>
    <mergeCell ref="BT3:BZ3"/>
    <mergeCell ref="AL3:AQ3"/>
    <mergeCell ref="BP5:BP7"/>
    <mergeCell ref="AQ6:AR7"/>
    <mergeCell ref="P7:Q7"/>
    <mergeCell ref="P6:Q6"/>
    <mergeCell ref="R8:S8"/>
    <mergeCell ref="R7:S7"/>
    <mergeCell ref="R6:S6"/>
    <mergeCell ref="F9:G9"/>
    <mergeCell ref="H9:I9"/>
    <mergeCell ref="J9:K9"/>
    <mergeCell ref="L9:M9"/>
    <mergeCell ref="V8:W8"/>
    <mergeCell ref="P8:Q8"/>
    <mergeCell ref="DE209:DF209"/>
    <mergeCell ref="N9:O9"/>
    <mergeCell ref="P9:Q9"/>
    <mergeCell ref="R9:S9"/>
    <mergeCell ref="T9:U9"/>
    <mergeCell ref="AQ13:AQ17"/>
    <mergeCell ref="AN13:AN19"/>
    <mergeCell ref="AQ9:AR10"/>
    <mergeCell ref="AK9:AP10"/>
    <mergeCell ref="AL13:AL17"/>
    <mergeCell ref="AZ22:AZ23"/>
    <mergeCell ref="AJ22:AK22"/>
    <mergeCell ref="AJ23:AK23"/>
    <mergeCell ref="AJ21:AK21"/>
    <mergeCell ref="AO21:AP21"/>
    <mergeCell ref="AO22:AP22"/>
  </mergeCells>
  <phoneticPr fontId="0" type="noConversion"/>
  <conditionalFormatting sqref="V4:W4">
    <cfRule type="cellIs" dxfId="77" priority="1" stopIfTrue="1" operator="equal">
      <formula>"Totals Correct"</formula>
    </cfRule>
    <cfRule type="cellIs" dxfId="76" priority="2" stopIfTrue="1" operator="equal">
      <formula>"ERROR"</formula>
    </cfRule>
  </conditionalFormatting>
  <conditionalFormatting sqref="U4">
    <cfRule type="cellIs" dxfId="75" priority="3" stopIfTrue="1" operator="equal">
      <formula>"OK TO MOVE TO NEXT STAGE"</formula>
    </cfRule>
    <cfRule type="cellIs" dxfId="74" priority="4" stopIfTrue="1" operator="equal">
      <formula>"DO NOT MOVE TO NEXT STAGE"</formula>
    </cfRule>
  </conditionalFormatting>
  <conditionalFormatting sqref="AL3">
    <cfRule type="cellIs" dxfId="73" priority="5" stopIfTrue="1" operator="notEqual">
      <formula>0</formula>
    </cfRule>
  </conditionalFormatting>
  <conditionalFormatting sqref="BF30:BG31">
    <cfRule type="cellIs" dxfId="72" priority="6" stopIfTrue="1" operator="equal">
      <formula>"NONE"</formula>
    </cfRule>
    <cfRule type="cellIs" dxfId="71" priority="7" stopIfTrue="1" operator="notEqual">
      <formula>"NONE"</formula>
    </cfRule>
  </conditionalFormatting>
  <conditionalFormatting sqref="BX30">
    <cfRule type="cellIs" dxfId="70" priority="8" stopIfTrue="1" operator="equal">
      <formula>"Calculations OK"</formula>
    </cfRule>
    <cfRule type="cellIs" dxfId="69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10'!Y1:AR1" display="BACK to DECISION FORM Stage 10"/>
    <hyperlink ref="O4:S4" location="'Stage 11'!Y1:AR1" display="FORWARD TO STAGE 11"/>
    <hyperlink ref="Z6:AF7" location="'Stage 9'!A1" display="BACK to Overview of STAGE 9"/>
    <hyperlink ref="AL28" location="'Stage 2'!BI1" display="MOVE TO TRANSFER OF SURPLUS VOTES FORM"/>
    <hyperlink ref="AL31" location="'Stage 2'!CC1" display="MOVE TO EXCLUDE CANDIDATE FORM"/>
    <hyperlink ref="AL28:AQ29" location="'Stage 10'!AY1:BK1" display="MOVE TO TRANSFER OF SURPLUS VOTES FORM"/>
    <hyperlink ref="AL31:AQ32" location="'Stage 10'!BN1:CE1" display="MOVE TO EXCLUDE CANDIDATE FORM"/>
    <hyperlink ref="BI3:BK3" location="'Stage 10'!Y1:AR1" display="BACK to DECISION FORM"/>
    <hyperlink ref="BI30:BK31" location="'Stage 10'!A1" display="FORWARD to OVERVIEW OF STAGE 10"/>
    <hyperlink ref="CB31" location="'Stage 2'!A1" display="HOME TO OVERVIEW OF STAGE 2"/>
    <hyperlink ref="CB31:CE32" location="'Stage 10'!A1" display="FORWARD to OVERVIEW OF STAGE 10"/>
    <hyperlink ref="CB2" location="'Stage 2'!AQ5" display="MOVE TO NEXT FORM"/>
    <hyperlink ref="CB2:CE2" location="'Stage 10'!Y1:AR1" display="BACK to DECISION FORM"/>
  </hyperlinks>
  <pageMargins left="0.75" right="0.7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2.453125" customWidth="1"/>
    <col min="25" max="25" width="3.906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54296875" customWidth="1"/>
    <col min="43" max="43" width="10.36328125" customWidth="1"/>
    <col min="44" max="44" width="16.36328125" customWidth="1"/>
    <col min="45" max="45" width="228.453125" customWidth="1"/>
    <col min="50" max="50" width="220.08984375" customWidth="1"/>
    <col min="51" max="51" width="5.0898437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26.0898437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272</v>
      </c>
      <c r="J1" s="85" t="s">
        <v>37</v>
      </c>
      <c r="K1" s="319">
        <f>'Basic Input'!C2</f>
        <v>45064</v>
      </c>
      <c r="L1" s="319"/>
      <c r="Z1" s="10" t="s">
        <v>273</v>
      </c>
      <c r="AQ1" s="33"/>
      <c r="AZ1" s="10" t="s">
        <v>126</v>
      </c>
      <c r="BE1" s="34" t="str">
        <f>IF(AT5="T","COMPLETE THIS FORM","YOU HAVE NOT SELECTED TO COMPLETE THIS FORM")</f>
        <v>YOU HAVE NOT SELECTED TO COMPLETE THIS FORM</v>
      </c>
      <c r="BR1" s="10" t="s">
        <v>127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274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I2" s="313"/>
      <c r="BJ2" s="313"/>
      <c r="BK2" s="313"/>
      <c r="BR2" s="36" t="s">
        <v>272</v>
      </c>
      <c r="CB2" s="345" t="s">
        <v>131</v>
      </c>
      <c r="CC2" s="346"/>
      <c r="CD2" s="346"/>
      <c r="CE2" s="347"/>
    </row>
    <row r="3" spans="1:105" ht="18.5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76" t="s">
        <v>275</v>
      </c>
      <c r="P3" s="377"/>
      <c r="Q3" s="377"/>
      <c r="R3" s="377"/>
      <c r="S3" s="378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0</v>
      </c>
      <c r="AJ3" s="163"/>
      <c r="AK3" s="163"/>
      <c r="AL3" s="352">
        <f>IF(AQ5="n","MOVE TO EXCLUDE CANDIDATE FORM",IF(AQ5="y","MOVE TO TRANSFER OF SURPLUS VOTES FORM",0))</f>
        <v>0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L3" s="114"/>
      <c r="BR3" s="81" t="s">
        <v>133</v>
      </c>
      <c r="BS3" s="82"/>
      <c r="BT3" s="348"/>
      <c r="BU3" s="349"/>
      <c r="BV3" s="349"/>
      <c r="BW3" s="349"/>
      <c r="BX3" s="349"/>
      <c r="BY3" s="349"/>
      <c r="BZ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276</v>
      </c>
      <c r="P4" s="346"/>
      <c r="Q4" s="346"/>
      <c r="R4" s="346"/>
      <c r="S4" s="347"/>
      <c r="U4" s="311" t="str">
        <f>IF(I79="ERROR","DO NOT MOVE TO NEXT STAGE","OK TO MOVE TO NEXT STAGE")</f>
        <v>DO NOT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IF(C57=0,0,IF(G57=0,"Excluded",0))</f>
        <v>Excluded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27" t="s">
        <v>277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Transfer</v>
      </c>
      <c r="AR6" s="302"/>
      <c r="AS6" s="181"/>
      <c r="AT6" s="91"/>
      <c r="AU6" s="91"/>
      <c r="AW6" s="33"/>
      <c r="AX6" s="33"/>
      <c r="AZ6" s="36" t="s">
        <v>272</v>
      </c>
      <c r="BA6" s="245"/>
      <c r="BE6" s="61" t="str">
        <f>'Verification of Boxes'!J11</f>
        <v>FLYNN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4" si="2">IF(C58=0,0,IF(G58=0,"Excluded",0))</f>
        <v>Excluded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Exclude</v>
      </c>
      <c r="U7" s="362"/>
      <c r="V7" s="361">
        <f>'Stage 10'!V7:W7</f>
        <v>0</v>
      </c>
      <c r="W7" s="362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EWING</v>
      </c>
      <c r="G8" s="364"/>
      <c r="H8" s="359" t="str">
        <f>'Stage 3'!H8:I8</f>
        <v xml:space="preserve"> MCEVOY</v>
      </c>
      <c r="I8" s="360"/>
      <c r="J8" s="359" t="str">
        <f>'Stage 4'!J8:K8</f>
        <v>GREHAN</v>
      </c>
      <c r="K8" s="360"/>
      <c r="L8" s="359" t="str">
        <f>'Stage 5'!L8:M8</f>
        <v>GIVAN</v>
      </c>
      <c r="M8" s="360"/>
      <c r="N8" s="359" t="str">
        <f>'Stage 6'!N8:O8</f>
        <v>FRENCH</v>
      </c>
      <c r="O8" s="360"/>
      <c r="P8" s="359" t="str">
        <f>'Stage 7'!P8:Q8</f>
        <v>FLYNN</v>
      </c>
      <c r="Q8" s="360"/>
      <c r="R8" s="359" t="str">
        <f>'Stage 8'!R8:S8</f>
        <v>KENNEDY</v>
      </c>
      <c r="S8" s="360"/>
      <c r="T8" s="359" t="str">
        <f>'Stage 9'!T8:U8</f>
        <v>PALMER</v>
      </c>
      <c r="U8" s="360"/>
      <c r="V8" s="359">
        <f>'Stage 10'!V8:W8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GIVAN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EWING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115" t="s">
        <v>112</v>
      </c>
      <c r="W9" s="116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Transfer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7">
        <f t="shared" si="3"/>
        <v>0</v>
      </c>
      <c r="BP9" s="66"/>
      <c r="BR9" s="9" t="str">
        <f>'Verification of Boxes'!J11</f>
        <v>FLYNN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113</v>
      </c>
      <c r="B10" s="18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KENNEDY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FRENCH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>
        <f t="shared" ref="A11:A30" si="12">IF(W11&gt;=$M$3,"Elected",0)</f>
        <v>0</v>
      </c>
      <c r="B11" s="235">
        <f>'Stage 10'!B11</f>
        <v>1</v>
      </c>
      <c r="C11" s="30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>'Stage 3'!H11</f>
        <v>0</v>
      </c>
      <c r="I11" s="135">
        <f>'Stage 3'!I11</f>
        <v>1071</v>
      </c>
      <c r="J11" s="71">
        <f>'Stage 4'!J11</f>
        <v>0</v>
      </c>
      <c r="K11" s="135">
        <f>'Stage 4'!K11</f>
        <v>1071</v>
      </c>
      <c r="L11" s="71">
        <f>'Stage 5'!L11</f>
        <v>0</v>
      </c>
      <c r="M11" s="135">
        <f>'Stage 5'!M11</f>
        <v>1071</v>
      </c>
      <c r="N11" s="71">
        <f>'Stage 6'!N11</f>
        <v>0</v>
      </c>
      <c r="O11" s="135">
        <f>'Stage 6'!O11</f>
        <v>1071</v>
      </c>
      <c r="P11" s="71">
        <f>'Stage 7'!P11</f>
        <v>0</v>
      </c>
      <c r="Q11" s="135">
        <f>'Stage 7'!Q11</f>
        <v>1071</v>
      </c>
      <c r="R11" s="71">
        <f>'Stage 8'!R11</f>
        <v>0</v>
      </c>
      <c r="S11" s="135">
        <f>'Stage 8'!S11</f>
        <v>1071</v>
      </c>
      <c r="T11" s="71">
        <f>'Stage 9'!T11</f>
        <v>0</v>
      </c>
      <c r="U11" s="135">
        <f>'Stage 9'!U11</f>
        <v>1071</v>
      </c>
      <c r="V11" s="71">
        <f>'Stage 10'!V11</f>
        <v>0</v>
      </c>
      <c r="W11" s="135">
        <f>'Stage 10'!W11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si="12"/>
        <v>0</v>
      </c>
      <c r="B12" s="235">
        <f>'Stage 10'!B12</f>
        <v>0</v>
      </c>
      <c r="C12" s="31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>'Stage 3'!H12</f>
        <v>1</v>
      </c>
      <c r="I12" s="135">
        <f>'Stage 3'!I12</f>
        <v>494.42</v>
      </c>
      <c r="J12" s="71">
        <f>'Stage 4'!J12</f>
        <v>0.48</v>
      </c>
      <c r="K12" s="135">
        <f>'Stage 4'!K12</f>
        <v>494.90000000000003</v>
      </c>
      <c r="L12" s="71">
        <f>'Stage 5'!L12</f>
        <v>0.04</v>
      </c>
      <c r="M12" s="135">
        <f>'Stage 5'!M12</f>
        <v>494.94000000000005</v>
      </c>
      <c r="N12" s="71">
        <f>'Stage 6'!N12</f>
        <v>176.15</v>
      </c>
      <c r="O12" s="135">
        <f>'Stage 6'!O12</f>
        <v>671.09</v>
      </c>
      <c r="P12" s="71">
        <f>'Stage 7'!P12</f>
        <v>-671.09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MITCHELL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'Stage 10'!B13</f>
        <v>0</v>
      </c>
      <c r="C13" s="31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>'Stage 3'!H13</f>
        <v>4</v>
      </c>
      <c r="I13" s="135">
        <f>'Stage 3'!I13</f>
        <v>476.42</v>
      </c>
      <c r="J13" s="71">
        <f>'Stage 4'!J13</f>
        <v>0.89999999999999991</v>
      </c>
      <c r="K13" s="135">
        <f>'Stage 4'!K13</f>
        <v>477.32</v>
      </c>
      <c r="L13" s="71">
        <f>'Stage 5'!L13</f>
        <v>0.02</v>
      </c>
      <c r="M13" s="135">
        <f>'Stage 5'!M13</f>
        <v>477.34</v>
      </c>
      <c r="N13" s="71">
        <f>'Stage 6'!N13</f>
        <v>-477.34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115</v>
      </c>
      <c r="AA13" s="124" t="s">
        <v>168</v>
      </c>
      <c r="AB13" s="16"/>
      <c r="AC13" s="16" t="s">
        <v>169</v>
      </c>
      <c r="AD13" s="18"/>
      <c r="AE13" s="16" t="s">
        <v>170</v>
      </c>
      <c r="AF13" s="18" t="s">
        <v>171</v>
      </c>
      <c r="AG13" s="14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/>
      <c r="BE13" s="61" t="str">
        <f>'Verification of Boxes'!J18</f>
        <v>PALMER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KENNEDY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>
        <f t="shared" si="12"/>
        <v>0</v>
      </c>
      <c r="B14" s="235">
        <f>'Stage 10'!B14</f>
        <v>3</v>
      </c>
      <c r="C14" s="31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>'Stage 3'!H14</f>
        <v>0</v>
      </c>
      <c r="I14" s="135">
        <f>'Stage 3'!I14</f>
        <v>1089.5999999999999</v>
      </c>
      <c r="J14" s="71">
        <f>'Stage 4'!J14</f>
        <v>0</v>
      </c>
      <c r="K14" s="135">
        <f>'Stage 4'!K14</f>
        <v>1089.5999999999999</v>
      </c>
      <c r="L14" s="71">
        <f>'Stage 5'!L14</f>
        <v>-18.599999999999909</v>
      </c>
      <c r="M14" s="135">
        <f>'Stage 5'!M14</f>
        <v>1071</v>
      </c>
      <c r="N14" s="71">
        <f>'Stage 6'!N14</f>
        <v>0</v>
      </c>
      <c r="O14" s="135">
        <f>'Stage 6'!O14</f>
        <v>1071</v>
      </c>
      <c r="P14" s="71">
        <f>'Stage 7'!P14</f>
        <v>0</v>
      </c>
      <c r="Q14" s="135">
        <f>'Stage 7'!Q14</f>
        <v>1071</v>
      </c>
      <c r="R14" s="71">
        <f>'Stage 8'!R14</f>
        <v>0</v>
      </c>
      <c r="S14" s="135">
        <f>'Stage 8'!S14</f>
        <v>1071</v>
      </c>
      <c r="T14" s="71">
        <f>'Stage 9'!T14</f>
        <v>0</v>
      </c>
      <c r="U14" s="135">
        <f>'Stage 9'!U14</f>
        <v>1071</v>
      </c>
      <c r="V14" s="71">
        <f>'Stage 10'!V14</f>
        <v>0</v>
      </c>
      <c r="W14" s="135">
        <f>'Stage 10'!W14</f>
        <v>0</v>
      </c>
      <c r="Z14" s="166" t="str">
        <f>'Verification of Boxes'!J10</f>
        <v>EWING</v>
      </c>
      <c r="AA14" s="93">
        <f>G57</f>
        <v>0</v>
      </c>
      <c r="AB14" s="123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/>
      <c r="BE14" s="61" t="str">
        <f>'Verification of Boxes'!J19</f>
        <v>PORTER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>
        <f t="shared" si="12"/>
        <v>0</v>
      </c>
      <c r="B15" s="235">
        <f>'Stage 10'!B15</f>
        <v>2</v>
      </c>
      <c r="C15" s="31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>'Stage 3'!H15</f>
        <v>0</v>
      </c>
      <c r="I15" s="135">
        <f>'Stage 3'!I15</f>
        <v>1111</v>
      </c>
      <c r="J15" s="71">
        <f>'Stage 4'!J15</f>
        <v>-40</v>
      </c>
      <c r="K15" s="135">
        <f>'Stage 4'!K15</f>
        <v>1071</v>
      </c>
      <c r="L15" s="71">
        <f>'Stage 5'!L15</f>
        <v>0</v>
      </c>
      <c r="M15" s="135">
        <f>'Stage 5'!M15</f>
        <v>1071</v>
      </c>
      <c r="N15" s="71">
        <f>'Stage 6'!N15</f>
        <v>0</v>
      </c>
      <c r="O15" s="135">
        <f>'Stage 6'!O15</f>
        <v>1071</v>
      </c>
      <c r="P15" s="71">
        <f>'Stage 7'!P15</f>
        <v>0</v>
      </c>
      <c r="Q15" s="135">
        <f>'Stage 7'!Q15</f>
        <v>1071</v>
      </c>
      <c r="R15" s="71">
        <f>'Stage 8'!R15</f>
        <v>0</v>
      </c>
      <c r="S15" s="135">
        <f>'Stage 8'!S15</f>
        <v>1071</v>
      </c>
      <c r="T15" s="71">
        <f>'Stage 9'!T15</f>
        <v>0</v>
      </c>
      <c r="U15" s="135">
        <f>'Stage 9'!U15</f>
        <v>1071</v>
      </c>
      <c r="V15" s="71">
        <f>'Stage 10'!V15</f>
        <v>0</v>
      </c>
      <c r="W15" s="135">
        <f>'Stage 10'!W15</f>
        <v>0</v>
      </c>
      <c r="Z15" s="167" t="str">
        <f>'Verification of Boxes'!J11</f>
        <v>FLYNN</v>
      </c>
      <c r="AA15" s="37">
        <f t="shared" ref="AA15:AA33" si="16">G58</f>
        <v>0</v>
      </c>
      <c r="AB15" s="110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MITCHELL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'Stage 10'!B16</f>
        <v>4</v>
      </c>
      <c r="C16" s="31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>'Stage 3'!H16</f>
        <v>3.06</v>
      </c>
      <c r="I16" s="135">
        <f>'Stage 3'!I16</f>
        <v>677.3</v>
      </c>
      <c r="J16" s="71">
        <f>'Stage 4'!J16</f>
        <v>30.029999999999998</v>
      </c>
      <c r="K16" s="135">
        <f>'Stage 4'!K16</f>
        <v>707.32999999999993</v>
      </c>
      <c r="L16" s="71">
        <f>'Stage 5'!L16</f>
        <v>0.22</v>
      </c>
      <c r="M16" s="135">
        <f>'Stage 5'!M16</f>
        <v>707.55</v>
      </c>
      <c r="N16" s="71">
        <f>'Stage 6'!N16</f>
        <v>241.72</v>
      </c>
      <c r="O16" s="135">
        <f>'Stage 6'!O16</f>
        <v>949.27</v>
      </c>
      <c r="P16" s="71">
        <f>'Stage 7'!P16</f>
        <v>375</v>
      </c>
      <c r="Q16" s="135">
        <f>'Stage 7'!Q16</f>
        <v>1324.27</v>
      </c>
      <c r="R16" s="71">
        <f>'Stage 8'!R16</f>
        <v>-253.26999999999998</v>
      </c>
      <c r="S16" s="135">
        <f>'Stage 8'!S16</f>
        <v>1071</v>
      </c>
      <c r="T16" s="71">
        <f>'Stage 9'!T16</f>
        <v>0</v>
      </c>
      <c r="U16" s="135">
        <f>'Stage 9'!U16</f>
        <v>1071</v>
      </c>
      <c r="V16" s="71">
        <f>'Stage 10'!V16</f>
        <v>0</v>
      </c>
      <c r="W16" s="135">
        <f>'Stage 10'!W16</f>
        <v>0</v>
      </c>
      <c r="Z16" s="167" t="str">
        <f>'Verification of Boxes'!J12</f>
        <v>FRENCH</v>
      </c>
      <c r="AA16" s="37">
        <f t="shared" si="16"/>
        <v>0</v>
      </c>
      <c r="AB16" s="110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PALMER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'Stage 10'!B17</f>
        <v>0</v>
      </c>
      <c r="C17" s="31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>'Stage 3'!H17</f>
        <v>-388.44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167" t="str">
        <f>'Verification of Boxes'!J13</f>
        <v>GIVAN</v>
      </c>
      <c r="AA17" s="37">
        <f t="shared" si="16"/>
        <v>0</v>
      </c>
      <c r="AB17" s="110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 t="str">
        <f>'Verification of Boxes'!J19</f>
        <v>PORTER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10'!B18</f>
        <v>5</v>
      </c>
      <c r="C18" s="31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>'Stage 3'!H18</f>
        <v>91.42</v>
      </c>
      <c r="I18" s="135">
        <f>'Stage 3'!I18</f>
        <v>962.86</v>
      </c>
      <c r="J18" s="71">
        <f>'Stage 4'!J18</f>
        <v>0.72</v>
      </c>
      <c r="K18" s="135">
        <f>'Stage 4'!K18</f>
        <v>963.58</v>
      </c>
      <c r="L18" s="71">
        <f>'Stage 5'!L18</f>
        <v>1.54</v>
      </c>
      <c r="M18" s="135">
        <f>'Stage 5'!M18</f>
        <v>965.12</v>
      </c>
      <c r="N18" s="71">
        <f>'Stage 6'!N18</f>
        <v>6</v>
      </c>
      <c r="O18" s="135">
        <f>'Stage 6'!O18</f>
        <v>971.12</v>
      </c>
      <c r="P18" s="71">
        <f>'Stage 7'!P18</f>
        <v>36.170000000000009</v>
      </c>
      <c r="Q18" s="135">
        <f>'Stage 7'!Q18</f>
        <v>1007.29</v>
      </c>
      <c r="R18" s="71">
        <f>'Stage 8'!R18</f>
        <v>58</v>
      </c>
      <c r="S18" s="135">
        <f>'Stage 8'!S18</f>
        <v>1065.29</v>
      </c>
      <c r="T18" s="71">
        <f>'Stage 9'!T18</f>
        <v>0</v>
      </c>
      <c r="U18" s="135">
        <f>'Stage 9'!U18</f>
        <v>1065.29</v>
      </c>
      <c r="V18" s="71">
        <f>'Stage 10'!V18</f>
        <v>0</v>
      </c>
      <c r="W18" s="135">
        <f>'Stage 10'!W18</f>
        <v>0</v>
      </c>
      <c r="Z18" s="167" t="str">
        <f>'Verification of Boxes'!J14</f>
        <v>GREHAN</v>
      </c>
      <c r="AA18" s="37">
        <f t="shared" si="16"/>
        <v>0</v>
      </c>
      <c r="AB18" s="110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 t="shared" si="12"/>
        <v>0</v>
      </c>
      <c r="B19" s="235">
        <f>'Stage 10'!B19</f>
        <v>0</v>
      </c>
      <c r="C19" s="31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>'Stage 3'!H19</f>
        <v>64.48</v>
      </c>
      <c r="I19" s="135">
        <f>'Stage 3'!I19</f>
        <v>692.9</v>
      </c>
      <c r="J19" s="71">
        <f>'Stage 4'!J19</f>
        <v>0.69</v>
      </c>
      <c r="K19" s="135">
        <f>'Stage 4'!K19</f>
        <v>693.59</v>
      </c>
      <c r="L19" s="71">
        <f>'Stage 5'!L19</f>
        <v>0.68</v>
      </c>
      <c r="M19" s="135">
        <f>'Stage 5'!M19</f>
        <v>694.27</v>
      </c>
      <c r="N19" s="71">
        <f>'Stage 6'!N19</f>
        <v>12.15</v>
      </c>
      <c r="O19" s="135">
        <f>'Stage 6'!O19</f>
        <v>706.42</v>
      </c>
      <c r="P19" s="71">
        <f>'Stage 7'!P19</f>
        <v>21.06</v>
      </c>
      <c r="Q19" s="135">
        <f>'Stage 7'!Q19</f>
        <v>727.4799999999999</v>
      </c>
      <c r="R19" s="71">
        <f>'Stage 8'!R19</f>
        <v>18</v>
      </c>
      <c r="S19" s="135">
        <f>'Stage 8'!S19</f>
        <v>745.4799999999999</v>
      </c>
      <c r="T19" s="71">
        <f>'Stage 9'!T19</f>
        <v>-745.4799999999999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167" t="str">
        <f>'Verification of Boxes'!J15</f>
        <v>KENNEDY</v>
      </c>
      <c r="AA19" s="37">
        <f t="shared" si="16"/>
        <v>0</v>
      </c>
      <c r="AB19" s="110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10'!B20</f>
        <v>6</v>
      </c>
      <c r="C20" s="31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>'Stage 3'!H20</f>
        <v>204.42</v>
      </c>
      <c r="I20" s="135">
        <f>'Stage 3'!I20</f>
        <v>900.42</v>
      </c>
      <c r="J20" s="71">
        <f>'Stage 4'!J20</f>
        <v>0.39</v>
      </c>
      <c r="K20" s="135">
        <f>'Stage 4'!K20</f>
        <v>900.81</v>
      </c>
      <c r="L20" s="71">
        <f>'Stage 5'!L20</f>
        <v>14.34</v>
      </c>
      <c r="M20" s="135">
        <f>'Stage 5'!M20</f>
        <v>915.15</v>
      </c>
      <c r="N20" s="71">
        <f>'Stage 6'!N20</f>
        <v>6</v>
      </c>
      <c r="O20" s="135">
        <f>'Stage 6'!O20</f>
        <v>921.15</v>
      </c>
      <c r="P20" s="71">
        <f>'Stage 7'!P20</f>
        <v>10.08</v>
      </c>
      <c r="Q20" s="135">
        <f>'Stage 7'!Q20</f>
        <v>931.23</v>
      </c>
      <c r="R20" s="71">
        <f>'Stage 8'!R20</f>
        <v>6</v>
      </c>
      <c r="S20" s="135">
        <f>'Stage 8'!S20</f>
        <v>937.23</v>
      </c>
      <c r="T20" s="71">
        <f>'Stage 9'!T20</f>
        <v>0</v>
      </c>
      <c r="U20" s="135">
        <f>'Stage 9'!U20</f>
        <v>937.23</v>
      </c>
      <c r="V20" s="71">
        <f>'Stage 10'!V20</f>
        <v>0</v>
      </c>
      <c r="W20" s="135">
        <f>'Stage 10'!W20</f>
        <v>0</v>
      </c>
      <c r="Z20" s="167" t="str">
        <f>'Verification of Boxes'!J16</f>
        <v>MCEVOY</v>
      </c>
      <c r="AA20" s="37">
        <f t="shared" si="16"/>
        <v>0</v>
      </c>
      <c r="AB20" s="110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39" t="s">
        <v>184</v>
      </c>
      <c r="AK20" s="340"/>
      <c r="AL20" s="142">
        <f>AL46</f>
        <v>1000000</v>
      </c>
      <c r="AM20" s="118"/>
      <c r="AN20" s="142">
        <f>AL20+AG2</f>
        <v>1000000</v>
      </c>
      <c r="AO20" s="334">
        <f>IF(AN20&gt;AG4,0,IF(AN20&lt;AL21,"Exclude lowest candidate",0))</f>
        <v>0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10'!B21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167" t="str">
        <f>'Verification of Boxes'!J17</f>
        <v>MITCHELL</v>
      </c>
      <c r="AA21" s="37">
        <f t="shared" si="16"/>
        <v>0</v>
      </c>
      <c r="AB21" s="110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41" t="s">
        <v>185</v>
      </c>
      <c r="AK21" s="293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10'!B22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167" t="str">
        <f>'Verification of Boxes'!J18</f>
        <v>PALMER</v>
      </c>
      <c r="AA22" s="37">
        <f t="shared" si="16"/>
        <v>0</v>
      </c>
      <c r="AB22" s="110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41" t="s">
        <v>185</v>
      </c>
      <c r="AK22" s="293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10'!B23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167" t="str">
        <f>'Verification of Boxes'!J19</f>
        <v>PORTER</v>
      </c>
      <c r="AA23" s="37">
        <f t="shared" si="16"/>
        <v>0</v>
      </c>
      <c r="AB23" s="110"/>
      <c r="AC23" s="100">
        <f t="shared" si="13"/>
        <v>0</v>
      </c>
      <c r="AD23" s="110"/>
      <c r="AE23" s="5" t="str">
        <f t="shared" si="17"/>
        <v>excluded</v>
      </c>
      <c r="AF23" s="5">
        <f t="shared" si="14"/>
        <v>0</v>
      </c>
      <c r="AG23" s="96">
        <f t="shared" si="15"/>
        <v>0</v>
      </c>
      <c r="AJ23" s="341" t="s">
        <v>185</v>
      </c>
      <c r="AK23" s="293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10'!B24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167">
        <f>'Verification of Boxes'!J20</f>
        <v>0</v>
      </c>
      <c r="AA24" s="37">
        <f t="shared" si="16"/>
        <v>0</v>
      </c>
      <c r="AB24" s="110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41" t="s">
        <v>185</v>
      </c>
      <c r="AK24" s="293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189</v>
      </c>
      <c r="BA24" s="3" t="s">
        <v>190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10'!B25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167">
        <f>'Verification of Boxes'!J21</f>
        <v>0</v>
      </c>
      <c r="AA25" s="37">
        <f t="shared" si="16"/>
        <v>0</v>
      </c>
      <c r="AB25" s="110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55" t="s">
        <v>185</v>
      </c>
      <c r="AK25" s="35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0</v>
      </c>
      <c r="BE25" s="61" t="s">
        <v>193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10'!B26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167">
        <f>'Verification of Boxes'!J22</f>
        <v>0</v>
      </c>
      <c r="AA26" s="37">
        <f t="shared" si="16"/>
        <v>0</v>
      </c>
      <c r="AB26" s="110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194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10'!B27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167">
        <f>'Verification of Boxes'!J23</f>
        <v>0</v>
      </c>
      <c r="AA27" s="37">
        <f t="shared" si="16"/>
        <v>0</v>
      </c>
      <c r="AB27" s="110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10'!B28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167">
        <f>'Verification of Boxes'!J24</f>
        <v>0</v>
      </c>
      <c r="AA28" s="37">
        <f t="shared" si="16"/>
        <v>0</v>
      </c>
      <c r="AB28" s="110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123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10'!B29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167">
        <f>'Verification of Boxes'!J25</f>
        <v>0</v>
      </c>
      <c r="AA29" s="37">
        <f t="shared" si="16"/>
        <v>0</v>
      </c>
      <c r="AB29" s="110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30"/>
      <c r="AM29" s="331"/>
      <c r="AN29" s="331"/>
      <c r="AO29" s="331"/>
      <c r="AP29" s="331"/>
      <c r="AQ29" s="332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0</v>
      </c>
      <c r="BR29" s="5" t="s">
        <v>200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10'!B30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167">
        <f>'Verification of Boxes'!J26</f>
        <v>0</v>
      </c>
      <c r="AA30" s="37">
        <f t="shared" si="16"/>
        <v>0</v>
      </c>
      <c r="AB30" s="110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278</v>
      </c>
      <c r="BJ30" s="328"/>
      <c r="BK30" s="329"/>
      <c r="BX30" s="333" t="str">
        <f>IF(BW31=BW69,"Calculations OK","Check Count for Error")</f>
        <v>Calculations OK</v>
      </c>
      <c r="BY30" s="333"/>
    </row>
    <row r="31" spans="1:83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1">
        <f>'Stage 3'!H31</f>
        <v>20.059999999999999</v>
      </c>
      <c r="I31" s="135">
        <f>'Stage 3'!I31</f>
        <v>20.079999999999995</v>
      </c>
      <c r="J31" s="71">
        <f>'Stage 4'!J31</f>
        <v>6.7899999999999991</v>
      </c>
      <c r="K31" s="135">
        <f>'Stage 4'!K31</f>
        <v>26.869999999999994</v>
      </c>
      <c r="L31" s="71">
        <f>'Stage 5'!L31</f>
        <v>1.7599999999999092</v>
      </c>
      <c r="M31" s="135">
        <f>'Stage 5'!M31</f>
        <v>28.629999999999903</v>
      </c>
      <c r="N31" s="71">
        <f>'Stage 6'!N31</f>
        <v>35.320000000000007</v>
      </c>
      <c r="O31" s="135">
        <f>'Stage 6'!O31</f>
        <v>63.94999999999991</v>
      </c>
      <c r="P31" s="71">
        <f>'Stage 7'!P31</f>
        <v>228.78</v>
      </c>
      <c r="Q31" s="135">
        <f>'Stage 7'!Q31</f>
        <v>292.7299999999999</v>
      </c>
      <c r="R31" s="71">
        <f>'Stage 8'!R31</f>
        <v>171.26999999999998</v>
      </c>
      <c r="S31" s="135">
        <f>'Stage 8'!S31</f>
        <v>463.99999999999989</v>
      </c>
      <c r="T31" s="71">
        <f>'Stage 9'!T31</f>
        <v>0</v>
      </c>
      <c r="U31" s="135">
        <f>'Stage 9'!U31</f>
        <v>463.99999999999989</v>
      </c>
      <c r="V31" s="71">
        <f>'Stage 10'!V31</f>
        <v>0</v>
      </c>
      <c r="W31" s="135">
        <f>'Stage 10'!W31</f>
        <v>0</v>
      </c>
      <c r="Z31" s="167">
        <f>'Verification of Boxes'!J27</f>
        <v>0</v>
      </c>
      <c r="AA31" s="37">
        <f t="shared" si="16"/>
        <v>0</v>
      </c>
      <c r="AB31" s="110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203</v>
      </c>
      <c r="BA31" s="3" t="s">
        <v>204</v>
      </c>
      <c r="BB31" s="3"/>
      <c r="BC31" s="50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V31" t="s">
        <v>119</v>
      </c>
      <c r="BW31" s="5">
        <f>BT29+BV29+BX29+BZ29+CB29+CD29</f>
        <v>0</v>
      </c>
      <c r="BX31" s="311"/>
      <c r="BY31" s="311"/>
      <c r="BZ31" s="5">
        <f>BW69-BW31</f>
        <v>0</v>
      </c>
      <c r="CB31" s="327" t="s">
        <v>278</v>
      </c>
      <c r="CC31" s="328"/>
      <c r="CD31" s="328"/>
      <c r="CE31" s="32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1"/>
      <c r="I32" s="135">
        <f>'Stage 3'!I32</f>
        <v>7496</v>
      </c>
      <c r="J32" s="192"/>
      <c r="K32" s="135">
        <f>'Stage 4'!K32</f>
        <v>7495.9999999999991</v>
      </c>
      <c r="L32" s="192"/>
      <c r="M32" s="135">
        <f>'Stage 5'!M32</f>
        <v>7495.9999999999991</v>
      </c>
      <c r="N32" s="192"/>
      <c r="O32" s="135">
        <f>'Stage 6'!O32</f>
        <v>7496</v>
      </c>
      <c r="P32" s="192"/>
      <c r="Q32" s="135">
        <f>'Stage 7'!Q32</f>
        <v>7496</v>
      </c>
      <c r="R32" s="192"/>
      <c r="S32" s="135">
        <f>'Stage 8'!S32</f>
        <v>7496</v>
      </c>
      <c r="T32" s="192"/>
      <c r="U32" s="135">
        <f>'Stage 9'!U32</f>
        <v>6750.52</v>
      </c>
      <c r="V32" s="190"/>
      <c r="W32" s="135">
        <f>'Stage 10'!W32</f>
        <v>0</v>
      </c>
      <c r="Z32" s="167">
        <f>'Verification of Boxes'!J28</f>
        <v>0</v>
      </c>
      <c r="AA32" s="37">
        <f t="shared" si="16"/>
        <v>0</v>
      </c>
      <c r="AB32" s="110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30"/>
      <c r="AM32" s="331"/>
      <c r="AN32" s="331"/>
      <c r="AO32" s="331"/>
      <c r="AP32" s="331"/>
      <c r="AQ32" s="332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11"/>
      <c r="BG32" s="311"/>
      <c r="BX32" s="311"/>
      <c r="BY32" s="311"/>
      <c r="CB32" s="330"/>
      <c r="CC32" s="331"/>
      <c r="CD32" s="331"/>
      <c r="CE32" s="332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ERROR</v>
      </c>
      <c r="W33" t="str">
        <f>IF(W32=$G4,"Totals Correct","ERROR")</f>
        <v>ERROR</v>
      </c>
      <c r="Z33" s="168">
        <f>'Verification of Boxes'!J29</f>
        <v>0</v>
      </c>
      <c r="AA33" s="89">
        <f t="shared" si="16"/>
        <v>0</v>
      </c>
      <c r="AB33" s="147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5">
        <f>'Stage 3'!I34</f>
        <v>0</v>
      </c>
      <c r="J34" s="219"/>
      <c r="K34" s="185">
        <f>'Stage 4'!K34</f>
        <v>0</v>
      </c>
      <c r="L34" s="219"/>
      <c r="M34" s="185">
        <f>'Stage 5'!M34</f>
        <v>0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0.77361111111111114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EWING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FLYNN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1:75" x14ac:dyDescent="0.25">
      <c r="Z46" s="253" t="str">
        <v>FRENCH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212</v>
      </c>
    </row>
    <row r="47" spans="1:75" ht="18.5" thickBot="1" x14ac:dyDescent="0.45">
      <c r="A47" s="76" t="str">
        <f>'Verification of Boxes'!B1</f>
        <v>Local Council Elections 2023</v>
      </c>
      <c r="F47" s="10" t="s">
        <v>272</v>
      </c>
      <c r="J47" s="85" t="s">
        <v>37</v>
      </c>
      <c r="K47" s="319">
        <f>'Basic Input'!C2</f>
        <v>45064</v>
      </c>
      <c r="L47" s="319"/>
      <c r="Z47" s="253" t="str">
        <v>GIVAN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1.5" customHeight="1" thickBot="1" x14ac:dyDescent="0.45">
      <c r="A48" s="10" t="str">
        <f>'Verification of Boxes'!A3</f>
        <v>District Electoral Area of</v>
      </c>
      <c r="D48" s="10" t="str">
        <f>'Verification of Boxes'!B3</f>
        <v>Lisburn South</v>
      </c>
      <c r="O48" s="345" t="s">
        <v>274</v>
      </c>
      <c r="P48" s="346"/>
      <c r="Q48" s="346"/>
      <c r="R48" s="346"/>
      <c r="S48" s="347"/>
      <c r="Z48" s="253" t="str">
        <v>GREHAN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EWING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W48" t="s">
        <v>218</v>
      </c>
    </row>
    <row r="49" spans="1:75" ht="24" customHeight="1" thickBot="1" x14ac:dyDescent="0.35">
      <c r="C49" s="3" t="s">
        <v>96</v>
      </c>
      <c r="D49" s="68">
        <f>'Verification of Boxes'!L2</f>
        <v>16838</v>
      </c>
      <c r="E49" s="306" t="s">
        <v>62</v>
      </c>
      <c r="F49" s="307"/>
      <c r="G49" s="131">
        <f>'Verification of Boxes'!G3</f>
        <v>6</v>
      </c>
      <c r="H49" s="306" t="s">
        <v>97</v>
      </c>
      <c r="I49" s="307"/>
      <c r="J49" s="131">
        <f>'Verification of Boxes'!L33</f>
        <v>99</v>
      </c>
      <c r="K49" s="306" t="s">
        <v>98</v>
      </c>
      <c r="L49" s="307"/>
      <c r="M49" s="131">
        <f>'Verification of Boxes'!G4</f>
        <v>1071</v>
      </c>
      <c r="O49" s="376" t="s">
        <v>279</v>
      </c>
      <c r="P49" s="377"/>
      <c r="Q49" s="377"/>
      <c r="R49" s="377"/>
      <c r="S49" s="378"/>
      <c r="Z49" s="253" t="str">
        <v>KENNEDY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FLYNN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EWING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0.75" customHeight="1" thickBot="1" x14ac:dyDescent="0.45">
      <c r="A50" s="10"/>
      <c r="C50" s="3" t="s">
        <v>99</v>
      </c>
      <c r="D50" s="131">
        <f>'Verification of Boxes'!L3</f>
        <v>7595</v>
      </c>
      <c r="E50" s="161" t="s">
        <v>100</v>
      </c>
      <c r="F50" s="160"/>
      <c r="G50" s="67">
        <f>D50-J49</f>
        <v>7496</v>
      </c>
      <c r="H50" s="161" t="s">
        <v>101</v>
      </c>
      <c r="I50" s="160"/>
      <c r="J50" s="132">
        <f>'Verification of Boxes'!L5</f>
        <v>45.106307162370825</v>
      </c>
      <c r="O50" s="345" t="s">
        <v>276</v>
      </c>
      <c r="P50" s="346"/>
      <c r="Q50" s="346"/>
      <c r="R50" s="346"/>
      <c r="S50" s="347"/>
      <c r="U50" s="311" t="str">
        <f>IF(I79="ERROR","DO NOT MOVE TO NEXT STAGE","OK TO MOVE TO NEXT STAGE")</f>
        <v>DO NOT MOVE TO NEXT STAGE</v>
      </c>
      <c r="V50" s="311"/>
      <c r="W50" s="311"/>
      <c r="Z50" s="253" t="str">
        <v>MCEVOY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FRENCH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FLYNN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MITCHELL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GIVAN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FRENCH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94</v>
      </c>
      <c r="F52" s="288" t="s">
        <v>111</v>
      </c>
      <c r="G52" s="290"/>
      <c r="H52" s="288" t="s">
        <v>272</v>
      </c>
      <c r="I52" s="290"/>
      <c r="J52" s="288" t="s">
        <v>280</v>
      </c>
      <c r="K52" s="290"/>
      <c r="L52" s="288" t="s">
        <v>281</v>
      </c>
      <c r="M52" s="290"/>
      <c r="N52" s="288" t="s">
        <v>282</v>
      </c>
      <c r="O52" s="290"/>
      <c r="P52" s="288" t="s">
        <v>283</v>
      </c>
      <c r="Q52" s="290"/>
      <c r="R52" s="288" t="s">
        <v>284</v>
      </c>
      <c r="S52" s="290"/>
      <c r="T52" s="288" t="s">
        <v>285</v>
      </c>
      <c r="U52" s="290"/>
      <c r="V52" s="288" t="s">
        <v>286</v>
      </c>
      <c r="W52" s="290"/>
      <c r="Z52" s="253" t="str">
        <v>PALMER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GREHAN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GIVAN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IF($AT5=0,0,IF($AT5="T",$AZ7,$BR4))</f>
        <v>0</v>
      </c>
      <c r="I53" s="362"/>
      <c r="J53" s="361"/>
      <c r="K53" s="362"/>
      <c r="L53" s="361"/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 t="str">
        <v>PORTER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KENNEDY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GREHAN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59">
        <f>IF($H53="Transfer",$BA8,$BT3)</f>
        <v>0</v>
      </c>
      <c r="I54" s="360"/>
      <c r="J54" s="359"/>
      <c r="K54" s="360"/>
      <c r="L54" s="359"/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MCEVOY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KENNEDY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8" t="s">
        <v>112</v>
      </c>
      <c r="G55" s="290"/>
      <c r="H55" s="288" t="s">
        <v>112</v>
      </c>
      <c r="I55" s="290"/>
      <c r="J55" s="288" t="s">
        <v>112</v>
      </c>
      <c r="K55" s="290"/>
      <c r="L55" s="288" t="s">
        <v>112</v>
      </c>
      <c r="M55" s="290"/>
      <c r="N55" s="288" t="s">
        <v>112</v>
      </c>
      <c r="O55" s="290"/>
      <c r="P55" s="288" t="s">
        <v>112</v>
      </c>
      <c r="Q55" s="290"/>
      <c r="R55" s="288" t="s">
        <v>112</v>
      </c>
      <c r="S55" s="290"/>
      <c r="T55" s="288" t="s">
        <v>112</v>
      </c>
      <c r="U55" s="290"/>
      <c r="V55" s="288" t="s">
        <v>112</v>
      </c>
      <c r="W55" s="290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MITCHELL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MCEVOY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113</v>
      </c>
      <c r="B56" s="18" t="s">
        <v>114</v>
      </c>
      <c r="C56" s="16" t="s">
        <v>115</v>
      </c>
      <c r="D56" s="32" t="s">
        <v>116</v>
      </c>
      <c r="E56" s="1" t="s">
        <v>117</v>
      </c>
      <c r="F56" s="115"/>
      <c r="G56" s="116" t="s">
        <v>83</v>
      </c>
      <c r="H56" s="136"/>
      <c r="I56" s="137" t="s">
        <v>83</v>
      </c>
      <c r="J56" s="134"/>
      <c r="K56" s="137" t="s">
        <v>83</v>
      </c>
      <c r="L56" s="136"/>
      <c r="M56" s="137" t="s">
        <v>83</v>
      </c>
      <c r="N56" s="136"/>
      <c r="O56" s="137" t="s">
        <v>83</v>
      </c>
      <c r="P56" s="136"/>
      <c r="Q56" s="137" t="s">
        <v>83</v>
      </c>
      <c r="R56" s="136"/>
      <c r="S56" s="137" t="s">
        <v>83</v>
      </c>
      <c r="T56" s="136"/>
      <c r="U56" s="137" t="s">
        <v>83</v>
      </c>
      <c r="V56" s="136"/>
      <c r="W56" s="137" t="s">
        <v>83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PALMER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MITCHELL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10'!A11&lt;&gt;0,'Stage 10'!A11,IF(I57&gt;=$M$3,"Elected",IF(BP8&lt;&gt;0,"Excluded",0)))</f>
        <v>Elected</v>
      </c>
      <c r="B57" s="235">
        <f>'Stage 10'!B11</f>
        <v>1</v>
      </c>
      <c r="C57" s="29" t="str">
        <f>'Verification of Boxes'!J10</f>
        <v>EWING</v>
      </c>
      <c r="D57" s="152" t="str">
        <f>'Verification of Boxes'!K10</f>
        <v>D.U.P.</v>
      </c>
      <c r="E57" s="108">
        <f>'Verification of Boxes'!L10</f>
        <v>1139</v>
      </c>
      <c r="F57" s="71">
        <f>'Stage 10'!V11</f>
        <v>0</v>
      </c>
      <c r="G57" s="135">
        <f>'Stage 10'!W11</f>
        <v>0</v>
      </c>
      <c r="H57" s="159">
        <f>IF($C57&lt;&gt;0,$BK49,0)</f>
        <v>0</v>
      </c>
      <c r="I57" s="39">
        <f>IF(H$54=0,0,G57+H57)</f>
        <v>0</v>
      </c>
      <c r="J57" s="158"/>
      <c r="K57" s="37"/>
      <c r="L57" s="157"/>
      <c r="M57" s="37"/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PORTER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PALMER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10'!A12&lt;&gt;0,'Stage 10'!A12,IF(I58&gt;=$M$3,"Elected",IF(BP9&lt;&gt;0,"Excluded",0)))</f>
        <v>Excluded</v>
      </c>
      <c r="B58" s="235">
        <f>'Stage 10'!B12</f>
        <v>0</v>
      </c>
      <c r="C58" s="20" t="str">
        <f>'Verification of Boxes'!J11</f>
        <v>FLYNN</v>
      </c>
      <c r="D58" s="153" t="str">
        <f>'Verification of Boxes'!K11</f>
        <v>Sinn Féin</v>
      </c>
      <c r="E58" s="109">
        <f>'Verification of Boxes'!L11</f>
        <v>493</v>
      </c>
      <c r="F58" s="71">
        <f>'Stage 10'!V12</f>
        <v>0</v>
      </c>
      <c r="G58" s="135">
        <f>'Stage 10'!W12</f>
        <v>0</v>
      </c>
      <c r="H58" s="159">
        <f t="shared" ref="H58:H76" si="42">IF($C58&lt;&gt;0,$BK50,0)</f>
        <v>0</v>
      </c>
      <c r="I58" s="39">
        <f t="shared" ref="I58:I76" si="43">IF(H$54=0,0,G58+H58)</f>
        <v>0</v>
      </c>
      <c r="J58" s="158"/>
      <c r="K58" s="37"/>
      <c r="L58" s="157"/>
      <c r="M58" s="37"/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PORTER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10'!A13&lt;&gt;0,'Stage 10'!A13,IF(I59&gt;=$M$3,"Elected",IF(BP10&lt;&gt;0,"Excluded",0)))</f>
        <v>Excluded</v>
      </c>
      <c r="B59" s="235">
        <f>'Stage 10'!B13</f>
        <v>0</v>
      </c>
      <c r="C59" s="20" t="str">
        <f>'Verification of Boxes'!J12</f>
        <v>FRENCH</v>
      </c>
      <c r="D59" s="153" t="str">
        <f>'Verification of Boxes'!K12</f>
        <v xml:space="preserve">SDLP </v>
      </c>
      <c r="E59" s="109">
        <f>'Verification of Boxes'!L12</f>
        <v>472</v>
      </c>
      <c r="F59" s="71">
        <f>'Stage 10'!V13</f>
        <v>0</v>
      </c>
      <c r="G59" s="135">
        <f>'Stage 10'!W13</f>
        <v>0</v>
      </c>
      <c r="H59" s="159">
        <f t="shared" si="42"/>
        <v>0</v>
      </c>
      <c r="I59" s="39">
        <f t="shared" si="43"/>
        <v>0</v>
      </c>
      <c r="J59" s="158"/>
      <c r="K59" s="37"/>
      <c r="L59" s="157"/>
      <c r="M59" s="37"/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10'!A14&lt;&gt;0,'Stage 10'!A14,IF(I60&gt;=$M$3,"Elected",IF(BP11&lt;&gt;0,"Excluded",0)))</f>
        <v>Elected</v>
      </c>
      <c r="B60" s="235">
        <f>'Stage 10'!B14</f>
        <v>3</v>
      </c>
      <c r="C60" s="20" t="str">
        <f>'Verification of Boxes'!J13</f>
        <v>GIVAN</v>
      </c>
      <c r="D60" s="153" t="str">
        <f>'Verification of Boxes'!K13</f>
        <v>D.U.P.</v>
      </c>
      <c r="E60" s="109">
        <f>'Verification of Boxes'!L13</f>
        <v>1038</v>
      </c>
      <c r="F60" s="71">
        <f>'Stage 10'!V14</f>
        <v>0</v>
      </c>
      <c r="G60" s="135">
        <f>'Stage 10'!W14</f>
        <v>0</v>
      </c>
      <c r="H60" s="159">
        <f t="shared" si="42"/>
        <v>0</v>
      </c>
      <c r="I60" s="39">
        <f t="shared" si="43"/>
        <v>0</v>
      </c>
      <c r="J60" s="158"/>
      <c r="K60" s="37"/>
      <c r="L60" s="157"/>
      <c r="M60" s="37"/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10'!A15&lt;&gt;0,'Stage 10'!A15,IF(I61&gt;=$M$3,"Elected",IF(BP12&lt;&gt;0,"Excluded",0)))</f>
        <v>Elected</v>
      </c>
      <c r="B61" s="235">
        <f>'Stage 10'!B15</f>
        <v>2</v>
      </c>
      <c r="C61" s="20" t="str">
        <f>'Verification of Boxes'!J14</f>
        <v>GREHAN</v>
      </c>
      <c r="D61" s="153" t="str">
        <f>'Verification of Boxes'!K14</f>
        <v>Alliance Party</v>
      </c>
      <c r="E61" s="109">
        <f>'Verification of Boxes'!L14</f>
        <v>1111</v>
      </c>
      <c r="F61" s="71">
        <f>'Stage 10'!V15</f>
        <v>0</v>
      </c>
      <c r="G61" s="135">
        <f>'Stage 10'!W15</f>
        <v>0</v>
      </c>
      <c r="H61" s="159">
        <f t="shared" si="42"/>
        <v>0</v>
      </c>
      <c r="I61" s="39">
        <f t="shared" si="43"/>
        <v>0</v>
      </c>
      <c r="J61" s="158"/>
      <c r="K61" s="37"/>
      <c r="L61" s="157"/>
      <c r="M61" s="37"/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10'!A16&lt;&gt;0,'Stage 10'!A16,IF(I62&gt;=$M$3,"Elected",IF(BP13&lt;&gt;0,"Excluded",0)))</f>
        <v>Elected</v>
      </c>
      <c r="B62" s="235">
        <f>'Stage 10'!B16</f>
        <v>4</v>
      </c>
      <c r="C62" s="20" t="str">
        <f>'Verification of Boxes'!J15</f>
        <v>KENNEDY</v>
      </c>
      <c r="D62" s="153" t="str">
        <f>'Verification of Boxes'!K15</f>
        <v>Alliance Party</v>
      </c>
      <c r="E62" s="109">
        <f>'Verification of Boxes'!L15</f>
        <v>674</v>
      </c>
      <c r="F62" s="71">
        <f>'Stage 10'!V16</f>
        <v>0</v>
      </c>
      <c r="G62" s="135">
        <f>'Stage 10'!W16</f>
        <v>0</v>
      </c>
      <c r="H62" s="159">
        <f t="shared" si="42"/>
        <v>0</v>
      </c>
      <c r="I62" s="39">
        <f t="shared" si="43"/>
        <v>0</v>
      </c>
      <c r="J62" s="158"/>
      <c r="K62" s="37"/>
      <c r="L62" s="157"/>
      <c r="M62" s="37"/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10'!A17&lt;&gt;0,'Stage 10'!A17,IF(I63&gt;=$M$3,"Elected",IF(BP14&lt;&gt;0,"Excluded",0)))</f>
        <v>Excluded</v>
      </c>
      <c r="B63" s="235">
        <f>'Stage 10'!B17</f>
        <v>0</v>
      </c>
      <c r="C63" s="20" t="str">
        <f>'Verification of Boxes'!J16</f>
        <v>MCEVOY</v>
      </c>
      <c r="D63" s="153" t="str">
        <f>'Verification of Boxes'!K16</f>
        <v xml:space="preserve">TUV </v>
      </c>
      <c r="E63" s="109">
        <f>'Verification of Boxes'!L16</f>
        <v>387</v>
      </c>
      <c r="F63" s="71">
        <f>'Stage 10'!V17</f>
        <v>0</v>
      </c>
      <c r="G63" s="135">
        <f>'Stage 10'!W17</f>
        <v>0</v>
      </c>
      <c r="H63" s="159">
        <f t="shared" si="42"/>
        <v>0</v>
      </c>
      <c r="I63" s="39">
        <f t="shared" si="43"/>
        <v>0</v>
      </c>
      <c r="J63" s="158"/>
      <c r="K63" s="37"/>
      <c r="L63" s="157"/>
      <c r="M63" s="37"/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>
        <f>IF('Stage 10'!A18&lt;&gt;0,'Stage 10'!A18,IF(I64&gt;=$M$3,"Elected",IF(BP15&lt;&gt;0,"Excluded",0)))</f>
        <v>0</v>
      </c>
      <c r="B64" s="235">
        <f>'Stage 10'!B18</f>
        <v>5</v>
      </c>
      <c r="C64" s="20" t="str">
        <f>'Verification of Boxes'!J17</f>
        <v>MITCHELL</v>
      </c>
      <c r="D64" s="153" t="str">
        <f>'Verification of Boxes'!K17</f>
        <v>UUP</v>
      </c>
      <c r="E64" s="109">
        <f>'Verification of Boxes'!L17</f>
        <v>870</v>
      </c>
      <c r="F64" s="71">
        <f>'Stage 10'!V18</f>
        <v>0</v>
      </c>
      <c r="G64" s="135">
        <f>'Stage 10'!W18</f>
        <v>0</v>
      </c>
      <c r="H64" s="159">
        <f t="shared" si="42"/>
        <v>0</v>
      </c>
      <c r="I64" s="39">
        <f t="shared" si="43"/>
        <v>0</v>
      </c>
      <c r="J64" s="158"/>
      <c r="K64" s="37"/>
      <c r="L64" s="157"/>
      <c r="M64" s="37"/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10'!A19&lt;&gt;0,'Stage 10'!A19,IF(I65&gt;=$M$3,"Elected",IF(BP16&lt;&gt;0,"Excluded",0)))</f>
        <v>Excluded</v>
      </c>
      <c r="B65" s="235">
        <f>'Stage 10'!B19</f>
        <v>0</v>
      </c>
      <c r="C65" s="20" t="str">
        <f>'Verification of Boxes'!J18</f>
        <v>PALMER</v>
      </c>
      <c r="D65" s="153" t="str">
        <f>'Verification of Boxes'!K18</f>
        <v>UUP</v>
      </c>
      <c r="E65" s="109">
        <f>'Verification of Boxes'!L18</f>
        <v>625</v>
      </c>
      <c r="F65" s="71">
        <f>'Stage 10'!V19</f>
        <v>0</v>
      </c>
      <c r="G65" s="135">
        <f>'Stage 10'!W19</f>
        <v>0</v>
      </c>
      <c r="H65" s="159">
        <f t="shared" si="42"/>
        <v>0</v>
      </c>
      <c r="I65" s="39">
        <f t="shared" si="43"/>
        <v>0</v>
      </c>
      <c r="J65" s="158"/>
      <c r="K65" s="37"/>
      <c r="L65" s="157"/>
      <c r="M65" s="37"/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10'!A20&lt;&gt;0,'Stage 10'!A20,IF(I66&gt;=$M$3,"Elected",IF(BP17&lt;&gt;0,"Excluded",0)))</f>
        <v>0</v>
      </c>
      <c r="B66" s="235">
        <f>'Stage 10'!B20</f>
        <v>6</v>
      </c>
      <c r="C66" s="20" t="str">
        <f>'Verification of Boxes'!J19</f>
        <v>PORTER</v>
      </c>
      <c r="D66" s="153" t="str">
        <f>'Verification of Boxes'!K19</f>
        <v>D.U.P.</v>
      </c>
      <c r="E66" s="109">
        <f>'Verification of Boxes'!L19</f>
        <v>687</v>
      </c>
      <c r="F66" s="71">
        <f>'Stage 10'!V20</f>
        <v>0</v>
      </c>
      <c r="G66" s="135">
        <f>'Stage 10'!W20</f>
        <v>0</v>
      </c>
      <c r="H66" s="159">
        <f t="shared" si="42"/>
        <v>0</v>
      </c>
      <c r="I66" s="39">
        <f t="shared" si="43"/>
        <v>0</v>
      </c>
      <c r="J66" s="158"/>
      <c r="K66" s="37"/>
      <c r="L66" s="157"/>
      <c r="M66" s="37"/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10'!A21&lt;&gt;0,'Stage 10'!A21,IF(I67&gt;=$M$3,"Elected",IF(BP18&lt;&gt;0,"Excluded",0)))</f>
        <v>0</v>
      </c>
      <c r="B67" s="235">
        <f>'Stage 10'!B21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159">
        <f t="shared" si="42"/>
        <v>0</v>
      </c>
      <c r="I67" s="39">
        <f t="shared" si="43"/>
        <v>0</v>
      </c>
      <c r="J67" s="158"/>
      <c r="K67" s="37"/>
      <c r="L67" s="157"/>
      <c r="M67" s="37"/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10'!A22&lt;&gt;0,'Stage 10'!A22,IF(I68&gt;=$M$3,"Elected",IF(BP19&lt;&gt;0,"Excluded",0)))</f>
        <v>0</v>
      </c>
      <c r="B68" s="235">
        <f>'Stage 10'!B22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159">
        <f t="shared" si="42"/>
        <v>0</v>
      </c>
      <c r="I68" s="39">
        <f t="shared" si="43"/>
        <v>0</v>
      </c>
      <c r="J68" s="158"/>
      <c r="K68" s="37"/>
      <c r="L68" s="157"/>
      <c r="M68" s="37"/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10'!A23&lt;&gt;0,'Stage 10'!A23,IF(I69&gt;=$M$3,"Elected",IF(BP20&lt;&gt;0,"Excluded",0)))</f>
        <v>0</v>
      </c>
      <c r="B69" s="235">
        <f>'Stage 10'!B23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159">
        <f t="shared" si="42"/>
        <v>0</v>
      </c>
      <c r="I69" s="39">
        <f t="shared" si="43"/>
        <v>0</v>
      </c>
      <c r="J69" s="158"/>
      <c r="K69" s="37"/>
      <c r="L69" s="157"/>
      <c r="M69" s="37"/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219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10'!A24&lt;&gt;0,'Stage 10'!A24,IF(I70&gt;=$M$3,"Elected",IF(BP21&lt;&gt;0,"Excluded",0)))</f>
        <v>0</v>
      </c>
      <c r="B70" s="235">
        <f>'Stage 10'!B24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159">
        <f t="shared" si="42"/>
        <v>0</v>
      </c>
      <c r="I70" s="39">
        <f t="shared" si="43"/>
        <v>0</v>
      </c>
      <c r="J70" s="158"/>
      <c r="K70" s="37"/>
      <c r="L70" s="157"/>
      <c r="M70" s="37"/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10'!A25&lt;&gt;0,'Stage 10'!A25,IF(I71&gt;=$M$3,"Elected",IF(BP22&lt;&gt;0,"Excluded",0)))</f>
        <v>0</v>
      </c>
      <c r="B71" s="235">
        <f>'Stage 10'!B25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159">
        <f t="shared" si="42"/>
        <v>0</v>
      </c>
      <c r="I71" s="39">
        <f t="shared" si="43"/>
        <v>0</v>
      </c>
      <c r="J71" s="158"/>
      <c r="K71" s="37"/>
      <c r="L71" s="157"/>
      <c r="M71" s="37"/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10'!A26&lt;&gt;0,'Stage 10'!A26,IF(I72&gt;=$M$3,"Elected",IF(BP23&lt;&gt;0,"Excluded",0)))</f>
        <v>0</v>
      </c>
      <c r="B72" s="235">
        <f>'Stage 10'!B26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159">
        <f t="shared" si="42"/>
        <v>0</v>
      </c>
      <c r="I72" s="39">
        <f t="shared" si="43"/>
        <v>0</v>
      </c>
      <c r="J72" s="158"/>
      <c r="K72" s="37"/>
      <c r="L72" s="157"/>
      <c r="M72" s="37"/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10'!A27&lt;&gt;0,'Stage 10'!A27,IF(I73&gt;=$M$3,"Elected",IF(BP24&lt;&gt;0,"Excluded",0)))</f>
        <v>0</v>
      </c>
      <c r="B73" s="235">
        <f>'Stage 10'!B27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159">
        <f t="shared" si="42"/>
        <v>0</v>
      </c>
      <c r="I73" s="39">
        <f t="shared" si="43"/>
        <v>0</v>
      </c>
      <c r="J73" s="158"/>
      <c r="K73" s="37"/>
      <c r="L73" s="157"/>
      <c r="M73" s="37"/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10'!A28&lt;&gt;0,'Stage 10'!A28,IF(I74&gt;=$M$3,"Elected",IF(BP25&lt;&gt;0,"Excluded",0)))</f>
        <v>0</v>
      </c>
      <c r="B74" s="235">
        <f>'Stage 10'!B28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159">
        <f t="shared" si="42"/>
        <v>0</v>
      </c>
      <c r="I74" s="39">
        <f t="shared" si="43"/>
        <v>0</v>
      </c>
      <c r="J74" s="158"/>
      <c r="K74" s="37"/>
      <c r="L74" s="157"/>
      <c r="M74" s="37"/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10'!A29&lt;&gt;0,'Stage 10'!A29,IF(I75&gt;=$M$3,"Elected",IF(BP26&lt;&gt;0,"Excluded",0)))</f>
        <v>0</v>
      </c>
      <c r="B75" s="235">
        <f>'Stage 10'!B29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159">
        <f t="shared" si="42"/>
        <v>0</v>
      </c>
      <c r="I75" s="39">
        <f t="shared" si="43"/>
        <v>0</v>
      </c>
      <c r="J75" s="158"/>
      <c r="K75" s="37"/>
      <c r="L75" s="157"/>
      <c r="M75" s="37"/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10'!A30&lt;&gt;0,'Stage 10'!A30,IF(I76&gt;=$M$3,"Elected",IF(BP27&lt;&gt;0,"Excluded",0)))</f>
        <v>0</v>
      </c>
      <c r="B76" s="235">
        <f>'Stage 10'!B30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159">
        <f t="shared" si="42"/>
        <v>0</v>
      </c>
      <c r="I76" s="39">
        <f t="shared" si="43"/>
        <v>0</v>
      </c>
      <c r="J76" s="158"/>
      <c r="K76" s="37"/>
      <c r="L76" s="157"/>
      <c r="M76" s="37"/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118</v>
      </c>
      <c r="E77" s="189"/>
      <c r="F77" s="71">
        <f>'Stage 10'!V31</f>
        <v>0</v>
      </c>
      <c r="G77" s="135">
        <f>'Stage 10'!W31</f>
        <v>0</v>
      </c>
      <c r="H77" s="71">
        <f>$BK69</f>
        <v>0</v>
      </c>
      <c r="I77" s="41">
        <f>IF(H$54=0,0,G77+H77)</f>
        <v>0</v>
      </c>
      <c r="J77" s="158"/>
      <c r="K77" s="37"/>
      <c r="L77" s="157"/>
      <c r="M77" s="37"/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119</v>
      </c>
      <c r="E78" s="45">
        <f>SUM(E57:E76)</f>
        <v>7496</v>
      </c>
      <c r="F78" s="190"/>
      <c r="G78" s="135">
        <f>'Stage 10'!W32</f>
        <v>0</v>
      </c>
      <c r="H78" s="191"/>
      <c r="I78" s="50">
        <f>SUM(I57:I77)</f>
        <v>0</v>
      </c>
      <c r="J78" s="202"/>
      <c r="K78" s="37"/>
      <c r="L78" s="202"/>
      <c r="M78" s="37"/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t="str">
        <f>IF(I78=$G50,"Totals Correct","ERROR")</f>
        <v>ERROR</v>
      </c>
    </row>
    <row r="80" spans="1:75" ht="13" thickBot="1" x14ac:dyDescent="0.3">
      <c r="D80" s="42" t="s">
        <v>120</v>
      </c>
      <c r="E80" s="185">
        <f>'Stage 2'!E80</f>
        <v>0</v>
      </c>
      <c r="F80" s="219"/>
      <c r="G80" s="185">
        <f>'Stage 10'!W34</f>
        <v>0</v>
      </c>
      <c r="H80" s="219"/>
      <c r="I80" s="183"/>
      <c r="J80" s="219"/>
      <c r="K80" s="185"/>
      <c r="L80" s="219"/>
      <c r="M80" s="185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287</v>
      </c>
      <c r="DF210" s="231" t="s">
        <v>221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H57</f>
        <v>0</v>
      </c>
      <c r="DF211" s="233">
        <f>I57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FLYNN</v>
      </c>
      <c r="DC212" s="232" t="str">
        <f t="shared" si="49"/>
        <v>Sinn Féin</v>
      </c>
      <c r="DD212" s="233">
        <f t="shared" si="49"/>
        <v>493</v>
      </c>
      <c r="DE212" s="233">
        <f t="shared" ref="DE212:DF212" si="50">H58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FRENCH</v>
      </c>
      <c r="DC213" s="232" t="str">
        <f t="shared" si="49"/>
        <v xml:space="preserve">SDLP </v>
      </c>
      <c r="DD213" s="233">
        <f t="shared" si="49"/>
        <v>472</v>
      </c>
      <c r="DE213" s="233">
        <f t="shared" ref="DE213:DF213" si="51">H59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GIVAN</v>
      </c>
      <c r="DC214" s="232" t="str">
        <f t="shared" si="49"/>
        <v>D.U.P.</v>
      </c>
      <c r="DD214" s="233">
        <f t="shared" si="49"/>
        <v>1038</v>
      </c>
      <c r="DE214" s="233">
        <f t="shared" ref="DE214:DF214" si="52">H60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E2</v>
      </c>
      <c r="DB215" s="232" t="str">
        <f t="shared" si="49"/>
        <v>GREHAN</v>
      </c>
      <c r="DC215" s="232" t="str">
        <f t="shared" si="49"/>
        <v>Alliance Party</v>
      </c>
      <c r="DD215" s="233">
        <f t="shared" si="49"/>
        <v>1111</v>
      </c>
      <c r="DE215" s="233">
        <f t="shared" ref="DE215:DF215" si="53">H61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E4</v>
      </c>
      <c r="DB216" s="232" t="str">
        <f t="shared" si="49"/>
        <v>KENNEDY</v>
      </c>
      <c r="DC216" s="232" t="str">
        <f t="shared" si="49"/>
        <v>Alliance Party</v>
      </c>
      <c r="DD216" s="233">
        <f t="shared" si="49"/>
        <v>674</v>
      </c>
      <c r="DE216" s="233">
        <f t="shared" ref="DE216:DF216" si="54">H62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MCEVOY</v>
      </c>
      <c r="DC217" s="232" t="str">
        <f t="shared" si="49"/>
        <v xml:space="preserve">TUV </v>
      </c>
      <c r="DD217" s="233">
        <f t="shared" si="49"/>
        <v>387</v>
      </c>
      <c r="DE217" s="233">
        <f t="shared" ref="DE217:DF217" si="55">H63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5</v>
      </c>
      <c r="DB218" s="232" t="str">
        <f t="shared" si="49"/>
        <v>MITCHELL</v>
      </c>
      <c r="DC218" s="232" t="str">
        <f t="shared" si="49"/>
        <v>UUP</v>
      </c>
      <c r="DD218" s="233">
        <f t="shared" si="49"/>
        <v>870</v>
      </c>
      <c r="DE218" s="233">
        <f t="shared" ref="DE218:DF218" si="56">H64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PALMER</v>
      </c>
      <c r="DC219" s="232" t="str">
        <f t="shared" si="49"/>
        <v>UUP</v>
      </c>
      <c r="DD219" s="233">
        <f t="shared" si="49"/>
        <v>625</v>
      </c>
      <c r="DE219" s="233">
        <f t="shared" ref="DE219:DF219" si="57">H65</f>
        <v>0</v>
      </c>
      <c r="DF219" s="233">
        <f t="shared" si="57"/>
        <v>0</v>
      </c>
    </row>
    <row r="220" spans="105:110" ht="15.5" x14ac:dyDescent="0.35">
      <c r="DA220" s="232" t="str">
        <f t="shared" si="48"/>
        <v>6</v>
      </c>
      <c r="DB220" s="232" t="str">
        <f t="shared" si="49"/>
        <v>PORTER</v>
      </c>
      <c r="DC220" s="232" t="str">
        <f t="shared" si="49"/>
        <v>D.U.P.</v>
      </c>
      <c r="DD220" s="233">
        <f t="shared" si="49"/>
        <v>687</v>
      </c>
      <c r="DE220" s="233">
        <f t="shared" ref="DE220:DF220" si="58">H66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H67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H68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H69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H70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H71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H72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H73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H74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H75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H76</f>
        <v>0</v>
      </c>
      <c r="DF230" s="233">
        <f t="shared" si="69"/>
        <v>0</v>
      </c>
    </row>
    <row r="231" spans="105:110" ht="15.5" x14ac:dyDescent="0.35">
      <c r="DC231" s="234" t="s">
        <v>123</v>
      </c>
      <c r="DD231" s="234"/>
      <c r="DE231" s="233">
        <f t="shared" ref="DE231:DF231" si="70">H77</f>
        <v>0</v>
      </c>
      <c r="DF231" s="233">
        <f t="shared" si="70"/>
        <v>0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 t="shared" ref="DF232" si="71">I78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I80" name="Range20_1"/>
    <protectedRange sqref="AQ5" name="Range3_1"/>
  </protectedRanges>
  <mergeCells count="128">
    <mergeCell ref="N9:O9"/>
    <mergeCell ref="P9:Q9"/>
    <mergeCell ref="O50:S50"/>
    <mergeCell ref="AL13:AL17"/>
    <mergeCell ref="AN13:AN19"/>
    <mergeCell ref="AZ22:AZ23"/>
    <mergeCell ref="AJ22:AK22"/>
    <mergeCell ref="AJ23:AK23"/>
    <mergeCell ref="BI30:BK31"/>
    <mergeCell ref="U50:W50"/>
    <mergeCell ref="AO13:AO17"/>
    <mergeCell ref="AQ13:AQ17"/>
    <mergeCell ref="AP13:AP17"/>
    <mergeCell ref="AJ20:AK20"/>
    <mergeCell ref="P7:Q7"/>
    <mergeCell ref="P6:Q6"/>
    <mergeCell ref="T8:U8"/>
    <mergeCell ref="R6:S6"/>
    <mergeCell ref="R8:S8"/>
    <mergeCell ref="V6:W6"/>
    <mergeCell ref="J8:K8"/>
    <mergeCell ref="CB31:CE32"/>
    <mergeCell ref="AL3:AQ3"/>
    <mergeCell ref="AL28:AQ29"/>
    <mergeCell ref="AL31:AQ32"/>
    <mergeCell ref="BF30:BG32"/>
    <mergeCell ref="AO23:AP23"/>
    <mergeCell ref="AO24:AP24"/>
    <mergeCell ref="AO25:AP25"/>
    <mergeCell ref="AK9:AP10"/>
    <mergeCell ref="AM13:AM17"/>
    <mergeCell ref="BX30:BY32"/>
    <mergeCell ref="AJ25:AK25"/>
    <mergeCell ref="AJ24:AK24"/>
    <mergeCell ref="AJ21:AK21"/>
    <mergeCell ref="AO20:AP20"/>
    <mergeCell ref="AO21:AP21"/>
    <mergeCell ref="AO22:AP22"/>
    <mergeCell ref="CB2:CE2"/>
    <mergeCell ref="BI3:BK3"/>
    <mergeCell ref="BI2:BK2"/>
    <mergeCell ref="BT3:BZ3"/>
    <mergeCell ref="AQ9:AR10"/>
    <mergeCell ref="L7:M7"/>
    <mergeCell ref="N6:O6"/>
    <mergeCell ref="N7:O7"/>
    <mergeCell ref="N8:O8"/>
    <mergeCell ref="BP5:BP7"/>
    <mergeCell ref="AQ6:AR7"/>
    <mergeCell ref="U4:W4"/>
    <mergeCell ref="Z6:AF7"/>
    <mergeCell ref="AK6:AP7"/>
    <mergeCell ref="T6:U6"/>
    <mergeCell ref="T7:U7"/>
    <mergeCell ref="R9:S9"/>
    <mergeCell ref="T9:U9"/>
    <mergeCell ref="R7:S7"/>
    <mergeCell ref="L8:M8"/>
    <mergeCell ref="V7:W7"/>
    <mergeCell ref="V8:W8"/>
    <mergeCell ref="L6:M6"/>
    <mergeCell ref="P8:Q8"/>
    <mergeCell ref="E4:F4"/>
    <mergeCell ref="K1:L1"/>
    <mergeCell ref="H3:I3"/>
    <mergeCell ref="O4:S4"/>
    <mergeCell ref="O3:S3"/>
    <mergeCell ref="H4:I4"/>
    <mergeCell ref="E3:F3"/>
    <mergeCell ref="O2:S2"/>
    <mergeCell ref="Z3:AF3"/>
    <mergeCell ref="Z4:AF4"/>
    <mergeCell ref="F6:G6"/>
    <mergeCell ref="H6:I6"/>
    <mergeCell ref="F7:G7"/>
    <mergeCell ref="H7:I7"/>
    <mergeCell ref="F8:G8"/>
    <mergeCell ref="F53:G53"/>
    <mergeCell ref="H53:I53"/>
    <mergeCell ref="J53:K53"/>
    <mergeCell ref="L53:M53"/>
    <mergeCell ref="F52:G52"/>
    <mergeCell ref="H52:I52"/>
    <mergeCell ref="J52:K52"/>
    <mergeCell ref="L52:M52"/>
    <mergeCell ref="H8:I8"/>
    <mergeCell ref="J6:K6"/>
    <mergeCell ref="J7:K7"/>
    <mergeCell ref="F9:G9"/>
    <mergeCell ref="H9:I9"/>
    <mergeCell ref="J9:K9"/>
    <mergeCell ref="L9:M9"/>
    <mergeCell ref="K47:L47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N55:O55"/>
    <mergeCell ref="P55:Q55"/>
    <mergeCell ref="DE209:DF209"/>
    <mergeCell ref="F55:G55"/>
    <mergeCell ref="H55:I55"/>
    <mergeCell ref="J55:K55"/>
    <mergeCell ref="Z2:AF2"/>
    <mergeCell ref="T55:U55"/>
    <mergeCell ref="V55:W55"/>
    <mergeCell ref="K49:L49"/>
    <mergeCell ref="T52:U52"/>
    <mergeCell ref="V52:W52"/>
    <mergeCell ref="T53:U53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8:S48"/>
    <mergeCell ref="O49:S49"/>
    <mergeCell ref="V53:W53"/>
  </mergeCells>
  <phoneticPr fontId="0" type="noConversion"/>
  <conditionalFormatting sqref="AL3">
    <cfRule type="cellIs" dxfId="68" priority="1" stopIfTrue="1" operator="notEqual">
      <formula>0</formula>
    </cfRule>
  </conditionalFormatting>
  <conditionalFormatting sqref="BF30:BG31">
    <cfRule type="cellIs" dxfId="67" priority="2" stopIfTrue="1" operator="equal">
      <formula>"NONE"</formula>
    </cfRule>
    <cfRule type="cellIs" dxfId="66" priority="3" stopIfTrue="1" operator="notEqual">
      <formula>"NONE"</formula>
    </cfRule>
  </conditionalFormatting>
  <conditionalFormatting sqref="V50:W50 V4:W4">
    <cfRule type="cellIs" dxfId="65" priority="4" stopIfTrue="1" operator="equal">
      <formula>"Totals Correct"</formula>
    </cfRule>
    <cfRule type="cellIs" dxfId="64" priority="5" stopIfTrue="1" operator="equal">
      <formula>"ERROR"</formula>
    </cfRule>
  </conditionalFormatting>
  <conditionalFormatting sqref="U50 U4">
    <cfRule type="cellIs" dxfId="63" priority="6" stopIfTrue="1" operator="equal">
      <formula>"OK TO MOVE TO NEXT STAGE"</formula>
    </cfRule>
    <cfRule type="cellIs" dxfId="62" priority="7" stopIfTrue="1" operator="equal">
      <formula>"DO NOT MOVE TO NEXT STAGE"</formula>
    </cfRule>
  </conditionalFormatting>
  <conditionalFormatting sqref="BX30">
    <cfRule type="cellIs" dxfId="61" priority="8" stopIfTrue="1" operator="equal">
      <formula>"Calculations OK"</formula>
    </cfRule>
    <cfRule type="cellIs" dxfId="60" priority="9" stopIfTrue="1" operator="equal">
      <formula>"Check Count for Error"</formula>
    </cfRule>
  </conditionalFormatting>
  <hyperlinks>
    <hyperlink ref="Z6:AF7" location="'Stage 10'!A1" display="BACK to Overview of STAGE 10"/>
    <hyperlink ref="AL28" location="'Stage 2'!BI1" display="MOVE TO TRANSFER OF SURPLUS VOTES FORM"/>
    <hyperlink ref="AL31" location="'Stage 2'!CC1" display="MOVE TO EXCLUDE CANDIDATE FORM"/>
    <hyperlink ref="AL28:AQ29" location="'Stage 11'!AY1:BK1" display="MOVE TO TRANSFER OF SURPLUS VOTES FORM"/>
    <hyperlink ref="AL31:AQ32" location="'Stage 11'!BN1:CE1" display="MOVE TO EXCLUDE CANDIDATE FORM"/>
    <hyperlink ref="BI3:BK3" location="'Stage 11'!Y1:AR1" display="BACK to DECISION FORM"/>
    <hyperlink ref="BI30:BK31" location="'Stage 11'!A83:W83" display="FORWARD to OVERVIEW OF STAGE 11"/>
    <hyperlink ref="O50" location="'Stage 3'!A1" display="MOVE TO STAGE 3"/>
    <hyperlink ref="O48" location="'Stage 3'!A1" display="MOVE TO STAGE 3"/>
    <hyperlink ref="O48:S48" location="'Stage 11'!Y1:AR1" display="BACK to DECISION FORM Stage 11"/>
    <hyperlink ref="O50:S50" location="'Stage 12'!Y1:AR1" display="FORWARD TO STAGE 12"/>
    <hyperlink ref="CB2" location="'Stage 2'!AQ5" display="MOVE TO NEXT FORM"/>
    <hyperlink ref="CB2:CE2" location="'Stage 11'!Y1:AR1" display="BACK to DECISION FORM"/>
    <hyperlink ref="CB31" location="'Stage 2'!A1" display="HOME TO OVERVIEW OF STAGE 2"/>
    <hyperlink ref="CB31:CE32" location="'Stage 11'!A83:W83" display="FORWARD to OVERVIEW OF STAGE 11"/>
    <hyperlink ref="O4" location="'Stage 3'!A1" display="MOVE TO STAGE 3"/>
    <hyperlink ref="O2" location="'Stage 3'!A1" display="MOVE TO STAGE 3"/>
    <hyperlink ref="O2:S2" location="'Stage 11'!Y1:AR1" display="BACK to DECISION FORM Stage 11"/>
    <hyperlink ref="O4:S4" location="'Stage 12'!Y1:AR1" display="FORWARD TO STAGE 12"/>
    <hyperlink ref="O3:S3" location="'Stage 11'!A83:W83" display="OVERVIEW OF STAGES 10 - 11"/>
    <hyperlink ref="O49:S49" location="'Stage 11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DF232"/>
  <sheetViews>
    <sheetView showGridLines="0" showZeros="0" zoomScale="75" workbookViewId="0"/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1.90625" customWidth="1"/>
    <col min="25" max="25" width="3.906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54296875" customWidth="1"/>
    <col min="43" max="43" width="10.36328125" customWidth="1"/>
    <col min="44" max="44" width="16.36328125" customWidth="1"/>
    <col min="45" max="45" width="221.453125" customWidth="1"/>
    <col min="50" max="50" width="228.5429687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20.5429687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280</v>
      </c>
      <c r="J1" s="85" t="s">
        <v>37</v>
      </c>
      <c r="K1" s="319">
        <f>'Basic Input'!C2</f>
        <v>45064</v>
      </c>
      <c r="L1" s="319"/>
      <c r="Z1" s="10" t="s">
        <v>288</v>
      </c>
      <c r="AQ1" s="33"/>
      <c r="AZ1" s="10" t="s">
        <v>126</v>
      </c>
      <c r="BE1" s="34" t="str">
        <f>IF(AT5="T","COMPLETE THIS FORM","YOU HAVE NOT SELECTED TO COMPLETE THIS FORM")</f>
        <v>YOU HAVE NOT SELECTED TO COMPLETE THIS FORM</v>
      </c>
      <c r="BR1" s="10" t="s">
        <v>127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289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I2" s="313"/>
      <c r="BJ2" s="313"/>
      <c r="BK2" s="313"/>
      <c r="BR2" s="36" t="s">
        <v>280</v>
      </c>
      <c r="CB2" s="345" t="s">
        <v>131</v>
      </c>
      <c r="CC2" s="346"/>
      <c r="CD2" s="346"/>
      <c r="CE2" s="347"/>
    </row>
    <row r="3" spans="1:105" ht="18.5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76" t="s">
        <v>290</v>
      </c>
      <c r="P3" s="377"/>
      <c r="Q3" s="377"/>
      <c r="R3" s="377"/>
      <c r="S3" s="378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0</v>
      </c>
      <c r="AJ3" s="163"/>
      <c r="AK3" s="163"/>
      <c r="AL3" s="352">
        <f>IF(AQ5="n","MOVE TO EXCLUDE CANDIDATE FORM",IF(AQ5="y","MOVE TO TRANSFER OF SURPLUS VOTES FORM",0))</f>
        <v>0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L3" s="114"/>
      <c r="BR3" s="81" t="s">
        <v>133</v>
      </c>
      <c r="BS3" s="82"/>
      <c r="BT3" s="348"/>
      <c r="BU3" s="349"/>
      <c r="BV3" s="349"/>
      <c r="BW3" s="349"/>
      <c r="BX3" s="349"/>
      <c r="BY3" s="349"/>
      <c r="BZ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291</v>
      </c>
      <c r="P4" s="346"/>
      <c r="Q4" s="346"/>
      <c r="R4" s="346"/>
      <c r="S4" s="347"/>
      <c r="U4" s="311" t="str">
        <f>IF(K79="ERROR","DO NOT MOVE TO NEXT STAGE","OK TO MOVE TO NEXT STAGE")</f>
        <v>DO NOT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IF(C57=0,0,IF(I57=0,"Excluded",0))</f>
        <v>Excluded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27" t="s">
        <v>292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Transfer</v>
      </c>
      <c r="AR6" s="302"/>
      <c r="AS6" s="181"/>
      <c r="AT6" s="91"/>
      <c r="AU6" s="91"/>
      <c r="AW6" s="33"/>
      <c r="AX6" s="33"/>
      <c r="AZ6" s="36" t="s">
        <v>280</v>
      </c>
      <c r="BA6" s="245"/>
      <c r="BE6" s="61" t="str">
        <f>'Verification of Boxes'!J11</f>
        <v>FLYNN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3" si="2">IF(C58=0,0,IF(I58=0,"Excluded",0))</f>
        <v>Excluded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Exclude</v>
      </c>
      <c r="U7" s="362"/>
      <c r="V7" s="361">
        <f>'Stage 10'!V7:W7</f>
        <v>0</v>
      </c>
      <c r="W7" s="362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EWING</v>
      </c>
      <c r="G8" s="364"/>
      <c r="H8" s="359" t="str">
        <f>'Stage 3'!H8:I8</f>
        <v xml:space="preserve"> MCEVOY</v>
      </c>
      <c r="I8" s="360"/>
      <c r="J8" s="359" t="str">
        <f>'Stage 4'!J8:K8</f>
        <v>GREHAN</v>
      </c>
      <c r="K8" s="360"/>
      <c r="L8" s="359" t="str">
        <f>'Stage 5'!L8:M8</f>
        <v>GIVAN</v>
      </c>
      <c r="M8" s="360"/>
      <c r="N8" s="359" t="str">
        <f>'Stage 6'!N8:O8</f>
        <v>FRENCH</v>
      </c>
      <c r="O8" s="360"/>
      <c r="P8" s="359" t="str">
        <f>'Stage 7'!P8:Q8</f>
        <v>FLYNN</v>
      </c>
      <c r="Q8" s="360"/>
      <c r="R8" s="359" t="str">
        <f>'Stage 8'!R8:S8</f>
        <v>KENNEDY</v>
      </c>
      <c r="S8" s="360"/>
      <c r="T8" s="359" t="str">
        <f>'Stage 9'!T8:U8</f>
        <v>PALMER</v>
      </c>
      <c r="U8" s="360"/>
      <c r="V8" s="359">
        <f>'Stage 10'!V8:W8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GIVAN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EWING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115" t="s">
        <v>112</v>
      </c>
      <c r="W9" s="116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Transfer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7">
        <f t="shared" si="3"/>
        <v>0</v>
      </c>
      <c r="BP9" s="66"/>
      <c r="BR9" s="9" t="str">
        <f>'Verification of Boxes'!J11</f>
        <v>FLYNN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113</v>
      </c>
      <c r="B10" s="18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KENNEDY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FRENCH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11'!B57</f>
        <v>1</v>
      </c>
      <c r="C11" s="30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>'Stage 3'!H11</f>
        <v>0</v>
      </c>
      <c r="I11" s="135">
        <f>'Stage 3'!I11</f>
        <v>1071</v>
      </c>
      <c r="J11" s="71">
        <f>'Stage 4'!J11</f>
        <v>0</v>
      </c>
      <c r="K11" s="135">
        <f>'Stage 4'!K11</f>
        <v>1071</v>
      </c>
      <c r="L11" s="71">
        <f>'Stage 5'!L11</f>
        <v>0</v>
      </c>
      <c r="M11" s="135">
        <f>'Stage 5'!M11</f>
        <v>1071</v>
      </c>
      <c r="N11" s="71">
        <f>'Stage 6'!N11</f>
        <v>0</v>
      </c>
      <c r="O11" s="135">
        <f>'Stage 6'!O11</f>
        <v>1071</v>
      </c>
      <c r="P11" s="71">
        <f>'Stage 7'!P11</f>
        <v>0</v>
      </c>
      <c r="Q11" s="135">
        <f>'Stage 7'!Q11</f>
        <v>1071</v>
      </c>
      <c r="R11" s="71">
        <f>'Stage 8'!R11</f>
        <v>0</v>
      </c>
      <c r="S11" s="135">
        <f>'Stage 8'!S11</f>
        <v>1071</v>
      </c>
      <c r="T11" s="71">
        <f>'Stage 9'!T11</f>
        <v>0</v>
      </c>
      <c r="U11" s="135">
        <f>'Stage 9'!U11</f>
        <v>1071</v>
      </c>
      <c r="V11" s="71">
        <f>'Stage 10'!V11</f>
        <v>0</v>
      </c>
      <c r="W11" s="135">
        <f>'Stage 10'!W11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Excluded</v>
      </c>
      <c r="B12" s="235">
        <f>'Stage 11'!B58</f>
        <v>0</v>
      </c>
      <c r="C12" s="31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>'Stage 3'!H12</f>
        <v>1</v>
      </c>
      <c r="I12" s="135">
        <f>'Stage 3'!I12</f>
        <v>494.42</v>
      </c>
      <c r="J12" s="71">
        <f>'Stage 4'!J12</f>
        <v>0.48</v>
      </c>
      <c r="K12" s="135">
        <f>'Stage 4'!K12</f>
        <v>494.90000000000003</v>
      </c>
      <c r="L12" s="71">
        <f>'Stage 5'!L12</f>
        <v>0.04</v>
      </c>
      <c r="M12" s="135">
        <f>'Stage 5'!M12</f>
        <v>494.94000000000005</v>
      </c>
      <c r="N12" s="71">
        <f>'Stage 6'!N12</f>
        <v>176.15</v>
      </c>
      <c r="O12" s="135">
        <f>'Stage 6'!O12</f>
        <v>671.09</v>
      </c>
      <c r="P12" s="71">
        <f>'Stage 7'!P12</f>
        <v>-671.09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MITCHELL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11'!B59</f>
        <v>0</v>
      </c>
      <c r="C13" s="31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>'Stage 3'!H13</f>
        <v>4</v>
      </c>
      <c r="I13" s="135">
        <f>'Stage 3'!I13</f>
        <v>476.42</v>
      </c>
      <c r="J13" s="71">
        <f>'Stage 4'!J13</f>
        <v>0.89999999999999991</v>
      </c>
      <c r="K13" s="135">
        <f>'Stage 4'!K13</f>
        <v>477.32</v>
      </c>
      <c r="L13" s="71">
        <f>'Stage 5'!L13</f>
        <v>0.02</v>
      </c>
      <c r="M13" s="135">
        <f>'Stage 5'!M13</f>
        <v>477.34</v>
      </c>
      <c r="N13" s="71">
        <f>'Stage 6'!N13</f>
        <v>-477.34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115</v>
      </c>
      <c r="AA13" s="124" t="s">
        <v>168</v>
      </c>
      <c r="AB13" s="16"/>
      <c r="AC13" s="16" t="s">
        <v>169</v>
      </c>
      <c r="AD13" s="18"/>
      <c r="AE13" s="16" t="s">
        <v>170</v>
      </c>
      <c r="AF13" s="18" t="s">
        <v>171</v>
      </c>
      <c r="AG13" s="14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/>
      <c r="BE13" s="61" t="str">
        <f>'Verification of Boxes'!J18</f>
        <v>PALMER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KENNEDY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11'!B60</f>
        <v>3</v>
      </c>
      <c r="C14" s="31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>'Stage 3'!H14</f>
        <v>0</v>
      </c>
      <c r="I14" s="135">
        <f>'Stage 3'!I14</f>
        <v>1089.5999999999999</v>
      </c>
      <c r="J14" s="71">
        <f>'Stage 4'!J14</f>
        <v>0</v>
      </c>
      <c r="K14" s="135">
        <f>'Stage 4'!K14</f>
        <v>1089.5999999999999</v>
      </c>
      <c r="L14" s="71">
        <f>'Stage 5'!L14</f>
        <v>-18.599999999999909</v>
      </c>
      <c r="M14" s="135">
        <f>'Stage 5'!M14</f>
        <v>1071</v>
      </c>
      <c r="N14" s="71">
        <f>'Stage 6'!N14</f>
        <v>0</v>
      </c>
      <c r="O14" s="135">
        <f>'Stage 6'!O14</f>
        <v>1071</v>
      </c>
      <c r="P14" s="71">
        <f>'Stage 7'!P14</f>
        <v>0</v>
      </c>
      <c r="Q14" s="135">
        <f>'Stage 7'!Q14</f>
        <v>1071</v>
      </c>
      <c r="R14" s="71">
        <f>'Stage 8'!R14</f>
        <v>0</v>
      </c>
      <c r="S14" s="135">
        <f>'Stage 8'!S14</f>
        <v>1071</v>
      </c>
      <c r="T14" s="71">
        <f>'Stage 9'!T14</f>
        <v>0</v>
      </c>
      <c r="U14" s="135">
        <f>'Stage 9'!U14</f>
        <v>1071</v>
      </c>
      <c r="V14" s="71">
        <f>'Stage 10'!V14</f>
        <v>0</v>
      </c>
      <c r="W14" s="135">
        <f>'Stage 10'!W14</f>
        <v>0</v>
      </c>
      <c r="Z14" s="92" t="str">
        <f>'Verification of Boxes'!J10</f>
        <v>EWING</v>
      </c>
      <c r="AA14" s="93">
        <f>I57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/>
      <c r="BE14" s="61" t="str">
        <f>'Verification of Boxes'!J19</f>
        <v>PORTER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11'!B61</f>
        <v>2</v>
      </c>
      <c r="C15" s="31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>'Stage 3'!H15</f>
        <v>0</v>
      </c>
      <c r="I15" s="135">
        <f>'Stage 3'!I15</f>
        <v>1111</v>
      </c>
      <c r="J15" s="71">
        <f>'Stage 4'!J15</f>
        <v>-40</v>
      </c>
      <c r="K15" s="135">
        <f>'Stage 4'!K15</f>
        <v>1071</v>
      </c>
      <c r="L15" s="71">
        <f>'Stage 5'!L15</f>
        <v>0</v>
      </c>
      <c r="M15" s="135">
        <f>'Stage 5'!M15</f>
        <v>1071</v>
      </c>
      <c r="N15" s="71">
        <f>'Stage 6'!N15</f>
        <v>0</v>
      </c>
      <c r="O15" s="135">
        <f>'Stage 6'!O15</f>
        <v>1071</v>
      </c>
      <c r="P15" s="71">
        <f>'Stage 7'!P15</f>
        <v>0</v>
      </c>
      <c r="Q15" s="135">
        <f>'Stage 7'!Q15</f>
        <v>1071</v>
      </c>
      <c r="R15" s="71">
        <f>'Stage 8'!R15</f>
        <v>0</v>
      </c>
      <c r="S15" s="135">
        <f>'Stage 8'!S15</f>
        <v>1071</v>
      </c>
      <c r="T15" s="71">
        <f>'Stage 9'!T15</f>
        <v>0</v>
      </c>
      <c r="U15" s="135">
        <f>'Stage 9'!U15</f>
        <v>1071</v>
      </c>
      <c r="V15" s="71">
        <f>'Stage 10'!V15</f>
        <v>0</v>
      </c>
      <c r="W15" s="135">
        <f>'Stage 10'!W15</f>
        <v>0</v>
      </c>
      <c r="Z15" s="95" t="str">
        <f>'Verification of Boxes'!J11</f>
        <v>FLYNN</v>
      </c>
      <c r="AA15" s="37">
        <f>I58</f>
        <v>0</v>
      </c>
      <c r="AB15" s="5"/>
      <c r="AC15" s="100">
        <f t="shared" si="13"/>
        <v>0</v>
      </c>
      <c r="AD15" s="110"/>
      <c r="AE15" s="5" t="str">
        <f t="shared" ref="AE15:AE33" si="16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MITCHELL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Elected</v>
      </c>
      <c r="B16" s="235">
        <f>'Stage 11'!B62</f>
        <v>4</v>
      </c>
      <c r="C16" s="31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>'Stage 3'!H16</f>
        <v>3.06</v>
      </c>
      <c r="I16" s="135">
        <f>'Stage 3'!I16</f>
        <v>677.3</v>
      </c>
      <c r="J16" s="71">
        <f>'Stage 4'!J16</f>
        <v>30.029999999999998</v>
      </c>
      <c r="K16" s="135">
        <f>'Stage 4'!K16</f>
        <v>707.32999999999993</v>
      </c>
      <c r="L16" s="71">
        <f>'Stage 5'!L16</f>
        <v>0.22</v>
      </c>
      <c r="M16" s="135">
        <f>'Stage 5'!M16</f>
        <v>707.55</v>
      </c>
      <c r="N16" s="71">
        <f>'Stage 6'!N16</f>
        <v>241.72</v>
      </c>
      <c r="O16" s="135">
        <f>'Stage 6'!O16</f>
        <v>949.27</v>
      </c>
      <c r="P16" s="71">
        <f>'Stage 7'!P16</f>
        <v>375</v>
      </c>
      <c r="Q16" s="135">
        <f>'Stage 7'!Q16</f>
        <v>1324.27</v>
      </c>
      <c r="R16" s="71">
        <f>'Stage 8'!R16</f>
        <v>-253.26999999999998</v>
      </c>
      <c r="S16" s="135">
        <f>'Stage 8'!S16</f>
        <v>1071</v>
      </c>
      <c r="T16" s="71">
        <f>'Stage 9'!T16</f>
        <v>0</v>
      </c>
      <c r="U16" s="135">
        <f>'Stage 9'!U16</f>
        <v>1071</v>
      </c>
      <c r="V16" s="71">
        <f>'Stage 10'!V16</f>
        <v>0</v>
      </c>
      <c r="W16" s="135">
        <f>'Stage 10'!W16</f>
        <v>0</v>
      </c>
      <c r="Z16" s="95" t="str">
        <f>'Verification of Boxes'!J12</f>
        <v>FRENCH</v>
      </c>
      <c r="AA16" s="37">
        <f t="shared" ref="AA16:AA32" si="17">I59</f>
        <v>0</v>
      </c>
      <c r="AB16" s="5"/>
      <c r="AC16" s="100">
        <f t="shared" si="13"/>
        <v>0</v>
      </c>
      <c r="AD16" s="110"/>
      <c r="AE16" s="5" t="str">
        <f t="shared" si="16"/>
        <v>excluded</v>
      </c>
      <c r="AF16" s="5">
        <f t="shared" si="14"/>
        <v>0</v>
      </c>
      <c r="AG16" s="96">
        <f t="shared" si="15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PALMER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11'!B63</f>
        <v>0</v>
      </c>
      <c r="C17" s="31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>'Stage 3'!H17</f>
        <v>-388.44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GIVAN</v>
      </c>
      <c r="AA17" s="37">
        <f t="shared" si="17"/>
        <v>0</v>
      </c>
      <c r="AB17" s="5"/>
      <c r="AC17" s="100">
        <f t="shared" si="13"/>
        <v>0</v>
      </c>
      <c r="AD17" s="110"/>
      <c r="AE17" s="5" t="str">
        <f t="shared" si="16"/>
        <v>excluded</v>
      </c>
      <c r="AF17" s="5">
        <f t="shared" si="14"/>
        <v>0</v>
      </c>
      <c r="AG17" s="96">
        <f t="shared" si="15"/>
        <v>0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 t="str">
        <f>'Verification of Boxes'!J19</f>
        <v>PORTER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11'!B64</f>
        <v>5</v>
      </c>
      <c r="C18" s="31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>'Stage 3'!H18</f>
        <v>91.42</v>
      </c>
      <c r="I18" s="135">
        <f>'Stage 3'!I18</f>
        <v>962.86</v>
      </c>
      <c r="J18" s="71">
        <f>'Stage 4'!J18</f>
        <v>0.72</v>
      </c>
      <c r="K18" s="135">
        <f>'Stage 4'!K18</f>
        <v>963.58</v>
      </c>
      <c r="L18" s="71">
        <f>'Stage 5'!L18</f>
        <v>1.54</v>
      </c>
      <c r="M18" s="135">
        <f>'Stage 5'!M18</f>
        <v>965.12</v>
      </c>
      <c r="N18" s="71">
        <f>'Stage 6'!N18</f>
        <v>6</v>
      </c>
      <c r="O18" s="135">
        <f>'Stage 6'!O18</f>
        <v>971.12</v>
      </c>
      <c r="P18" s="71">
        <f>'Stage 7'!P18</f>
        <v>36.170000000000009</v>
      </c>
      <c r="Q18" s="135">
        <f>'Stage 7'!Q18</f>
        <v>1007.29</v>
      </c>
      <c r="R18" s="71">
        <f>'Stage 8'!R18</f>
        <v>58</v>
      </c>
      <c r="S18" s="135">
        <f>'Stage 8'!S18</f>
        <v>1065.29</v>
      </c>
      <c r="T18" s="71">
        <f>'Stage 9'!T18</f>
        <v>0</v>
      </c>
      <c r="U18" s="135">
        <f>'Stage 9'!U18</f>
        <v>1065.29</v>
      </c>
      <c r="V18" s="71">
        <f>'Stage 10'!V18</f>
        <v>0</v>
      </c>
      <c r="W18" s="135">
        <f>'Stage 10'!W18</f>
        <v>0</v>
      </c>
      <c r="Z18" s="95" t="str">
        <f>'Verification of Boxes'!J14</f>
        <v>GREHAN</v>
      </c>
      <c r="AA18" s="37">
        <f t="shared" si="17"/>
        <v>0</v>
      </c>
      <c r="AB18" s="5"/>
      <c r="AC18" s="100">
        <f t="shared" si="13"/>
        <v>0</v>
      </c>
      <c r="AD18" s="110"/>
      <c r="AE18" s="5" t="str">
        <f t="shared" si="16"/>
        <v>excluded</v>
      </c>
      <c r="AF18" s="5">
        <f t="shared" si="14"/>
        <v>0</v>
      </c>
      <c r="AG18" s="96">
        <f t="shared" si="15"/>
        <v>0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11'!B65</f>
        <v>0</v>
      </c>
      <c r="C19" s="31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>'Stage 3'!H19</f>
        <v>64.48</v>
      </c>
      <c r="I19" s="135">
        <f>'Stage 3'!I19</f>
        <v>692.9</v>
      </c>
      <c r="J19" s="71">
        <f>'Stage 4'!J19</f>
        <v>0.69</v>
      </c>
      <c r="K19" s="135">
        <f>'Stage 4'!K19</f>
        <v>693.59</v>
      </c>
      <c r="L19" s="71">
        <f>'Stage 5'!L19</f>
        <v>0.68</v>
      </c>
      <c r="M19" s="135">
        <f>'Stage 5'!M19</f>
        <v>694.27</v>
      </c>
      <c r="N19" s="71">
        <f>'Stage 6'!N19</f>
        <v>12.15</v>
      </c>
      <c r="O19" s="135">
        <f>'Stage 6'!O19</f>
        <v>706.42</v>
      </c>
      <c r="P19" s="71">
        <f>'Stage 7'!P19</f>
        <v>21.06</v>
      </c>
      <c r="Q19" s="135">
        <f>'Stage 7'!Q19</f>
        <v>727.4799999999999</v>
      </c>
      <c r="R19" s="71">
        <f>'Stage 8'!R19</f>
        <v>18</v>
      </c>
      <c r="S19" s="135">
        <f>'Stage 8'!S19</f>
        <v>745.4799999999999</v>
      </c>
      <c r="T19" s="71">
        <f>'Stage 9'!T19</f>
        <v>-745.4799999999999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KENNEDY</v>
      </c>
      <c r="AA19" s="37">
        <f t="shared" si="17"/>
        <v>0</v>
      </c>
      <c r="AB19" s="5"/>
      <c r="AC19" s="100">
        <f t="shared" si="13"/>
        <v>0</v>
      </c>
      <c r="AD19" s="110"/>
      <c r="AE19" s="5" t="str">
        <f t="shared" si="16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11'!B66</f>
        <v>6</v>
      </c>
      <c r="C20" s="31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>'Stage 3'!H20</f>
        <v>204.42</v>
      </c>
      <c r="I20" s="135">
        <f>'Stage 3'!I20</f>
        <v>900.42</v>
      </c>
      <c r="J20" s="71">
        <f>'Stage 4'!J20</f>
        <v>0.39</v>
      </c>
      <c r="K20" s="135">
        <f>'Stage 4'!K20</f>
        <v>900.81</v>
      </c>
      <c r="L20" s="71">
        <f>'Stage 5'!L20</f>
        <v>14.34</v>
      </c>
      <c r="M20" s="135">
        <f>'Stage 5'!M20</f>
        <v>915.15</v>
      </c>
      <c r="N20" s="71">
        <f>'Stage 6'!N20</f>
        <v>6</v>
      </c>
      <c r="O20" s="135">
        <f>'Stage 6'!O20</f>
        <v>921.15</v>
      </c>
      <c r="P20" s="71">
        <f>'Stage 7'!P20</f>
        <v>10.08</v>
      </c>
      <c r="Q20" s="135">
        <f>'Stage 7'!Q20</f>
        <v>931.23</v>
      </c>
      <c r="R20" s="71">
        <f>'Stage 8'!R20</f>
        <v>6</v>
      </c>
      <c r="S20" s="135">
        <f>'Stage 8'!S20</f>
        <v>937.23</v>
      </c>
      <c r="T20" s="71">
        <f>'Stage 9'!T20</f>
        <v>0</v>
      </c>
      <c r="U20" s="135">
        <f>'Stage 9'!U20</f>
        <v>937.23</v>
      </c>
      <c r="V20" s="71">
        <f>'Stage 10'!V20</f>
        <v>0</v>
      </c>
      <c r="W20" s="135">
        <f>'Stage 10'!W20</f>
        <v>0</v>
      </c>
      <c r="Z20" s="95" t="str">
        <f>'Verification of Boxes'!J16</f>
        <v>MCEVOY</v>
      </c>
      <c r="AA20" s="37">
        <f t="shared" si="17"/>
        <v>0</v>
      </c>
      <c r="AB20" s="5"/>
      <c r="AC20" s="100">
        <f t="shared" si="13"/>
        <v>0</v>
      </c>
      <c r="AD20" s="110"/>
      <c r="AE20" s="5" t="str">
        <f t="shared" si="16"/>
        <v>excluded</v>
      </c>
      <c r="AF20" s="5">
        <f t="shared" si="14"/>
        <v>0</v>
      </c>
      <c r="AG20" s="96">
        <f t="shared" si="15"/>
        <v>0</v>
      </c>
      <c r="AJ20" s="339" t="s">
        <v>184</v>
      </c>
      <c r="AK20" s="340"/>
      <c r="AL20" s="142">
        <f>AL46</f>
        <v>1000000</v>
      </c>
      <c r="AM20" s="118"/>
      <c r="AN20" s="142">
        <f>AL20+AG2</f>
        <v>1000000</v>
      </c>
      <c r="AO20" s="334">
        <f>IF(AN20&gt;AG4,0,IF(AN20&lt;AL21,"Exclude lowest candidate",0))</f>
        <v>0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11'!B67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MITCHELL</v>
      </c>
      <c r="AA21" s="37">
        <f t="shared" si="17"/>
        <v>0</v>
      </c>
      <c r="AB21" s="5"/>
      <c r="AC21" s="100">
        <f t="shared" si="13"/>
        <v>0</v>
      </c>
      <c r="AD21" s="110"/>
      <c r="AE21" s="5" t="str">
        <f t="shared" si="16"/>
        <v>excluded</v>
      </c>
      <c r="AF21" s="5">
        <f t="shared" si="14"/>
        <v>0</v>
      </c>
      <c r="AG21" s="96">
        <f t="shared" si="15"/>
        <v>0</v>
      </c>
      <c r="AJ21" s="341" t="s">
        <v>185</v>
      </c>
      <c r="AK21" s="293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11'!B68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PALMER</v>
      </c>
      <c r="AA22" s="37">
        <f t="shared" si="17"/>
        <v>0</v>
      </c>
      <c r="AB22" s="5"/>
      <c r="AC22" s="100">
        <f t="shared" si="13"/>
        <v>0</v>
      </c>
      <c r="AD22" s="110"/>
      <c r="AE22" s="5" t="str">
        <f t="shared" si="16"/>
        <v>excluded</v>
      </c>
      <c r="AF22" s="5">
        <f t="shared" si="14"/>
        <v>0</v>
      </c>
      <c r="AG22" s="96">
        <f t="shared" si="15"/>
        <v>0</v>
      </c>
      <c r="AJ22" s="341" t="s">
        <v>185</v>
      </c>
      <c r="AK22" s="293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11'!B69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 t="str">
        <f>'Verification of Boxes'!J19</f>
        <v>PORTER</v>
      </c>
      <c r="AA23" s="37">
        <f t="shared" si="17"/>
        <v>0</v>
      </c>
      <c r="AB23" s="5"/>
      <c r="AC23" s="100">
        <f t="shared" si="13"/>
        <v>0</v>
      </c>
      <c r="AD23" s="110"/>
      <c r="AE23" s="5" t="str">
        <f t="shared" si="16"/>
        <v>excluded</v>
      </c>
      <c r="AF23" s="5">
        <f t="shared" si="14"/>
        <v>0</v>
      </c>
      <c r="AG23" s="96">
        <f t="shared" si="15"/>
        <v>0</v>
      </c>
      <c r="AJ23" s="341" t="s">
        <v>185</v>
      </c>
      <c r="AK23" s="293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11'!B70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7"/>
        <v>0</v>
      </c>
      <c r="AB24" s="5"/>
      <c r="AC24" s="100">
        <f t="shared" si="13"/>
        <v>0</v>
      </c>
      <c r="AD24" s="110"/>
      <c r="AE24" s="5">
        <f t="shared" si="16"/>
        <v>0</v>
      </c>
      <c r="AF24" s="5">
        <f t="shared" si="14"/>
        <v>0</v>
      </c>
      <c r="AG24" s="96">
        <f t="shared" si="15"/>
        <v>0</v>
      </c>
      <c r="AJ24" s="341" t="s">
        <v>185</v>
      </c>
      <c r="AK24" s="293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189</v>
      </c>
      <c r="BA24" s="3" t="s">
        <v>190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>IF(C76=0,0,IF(I76=0,"Excluded",0))</f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11'!B71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7"/>
        <v>0</v>
      </c>
      <c r="AB25" s="5"/>
      <c r="AC25" s="100">
        <f t="shared" si="13"/>
        <v>0</v>
      </c>
      <c r="AD25" s="110"/>
      <c r="AE25" s="5">
        <f t="shared" si="16"/>
        <v>0</v>
      </c>
      <c r="AF25" s="5">
        <f t="shared" si="14"/>
        <v>0</v>
      </c>
      <c r="AG25" s="96">
        <f t="shared" si="15"/>
        <v>0</v>
      </c>
      <c r="AJ25" s="355" t="s">
        <v>185</v>
      </c>
      <c r="AK25" s="35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0</v>
      </c>
      <c r="BE25" s="61" t="s">
        <v>193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11'!B72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7"/>
        <v>0</v>
      </c>
      <c r="AB26" s="5"/>
      <c r="AC26" s="100">
        <f t="shared" si="13"/>
        <v>0</v>
      </c>
      <c r="AD26" s="110"/>
      <c r="AE26" s="5">
        <f t="shared" si="16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194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11'!B73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7"/>
        <v>0</v>
      </c>
      <c r="AB27" s="5"/>
      <c r="AC27" s="100">
        <f t="shared" si="13"/>
        <v>0</v>
      </c>
      <c r="AD27" s="110"/>
      <c r="AE27" s="5">
        <f t="shared" si="16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11'!B74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7"/>
        <v>0</v>
      </c>
      <c r="AB28" s="5"/>
      <c r="AC28" s="100">
        <f t="shared" si="13"/>
        <v>0</v>
      </c>
      <c r="AD28" s="110"/>
      <c r="AE28" s="5">
        <f t="shared" si="16"/>
        <v>0</v>
      </c>
      <c r="AF28" s="5">
        <f t="shared" si="14"/>
        <v>0</v>
      </c>
      <c r="AG28" s="96">
        <f t="shared" si="15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123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11'!B75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7"/>
        <v>0</v>
      </c>
      <c r="AB29" s="5"/>
      <c r="AC29" s="100">
        <f t="shared" si="13"/>
        <v>0</v>
      </c>
      <c r="AD29" s="110"/>
      <c r="AE29" s="5">
        <f t="shared" si="16"/>
        <v>0</v>
      </c>
      <c r="AF29" s="5">
        <f t="shared" si="14"/>
        <v>0</v>
      </c>
      <c r="AG29" s="96">
        <f t="shared" si="15"/>
        <v>0</v>
      </c>
      <c r="AL29" s="330"/>
      <c r="AM29" s="331"/>
      <c r="AN29" s="331"/>
      <c r="AO29" s="331"/>
      <c r="AP29" s="331"/>
      <c r="AQ29" s="332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0</v>
      </c>
      <c r="BR29" s="5" t="s">
        <v>200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11'!B76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7"/>
        <v>0</v>
      </c>
      <c r="AB30" s="5"/>
      <c r="AC30" s="100">
        <f t="shared" si="13"/>
        <v>0</v>
      </c>
      <c r="AD30" s="110"/>
      <c r="AE30" s="5">
        <f t="shared" si="16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293</v>
      </c>
      <c r="BJ30" s="328"/>
      <c r="BK30" s="329"/>
      <c r="BX30" s="333" t="str">
        <f>IF(BW31=BW69,"Calculations OK","Check Count for Error")</f>
        <v>Calculations OK</v>
      </c>
      <c r="BY30" s="333"/>
    </row>
    <row r="31" spans="1:83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1">
        <f>'Stage 3'!H31</f>
        <v>20.059999999999999</v>
      </c>
      <c r="I31" s="135">
        <f>'Stage 3'!I31</f>
        <v>20.079999999999995</v>
      </c>
      <c r="J31" s="71">
        <f>'Stage 4'!J31</f>
        <v>6.7899999999999991</v>
      </c>
      <c r="K31" s="135">
        <f>'Stage 4'!K31</f>
        <v>26.869999999999994</v>
      </c>
      <c r="L31" s="71">
        <f>'Stage 5'!L31</f>
        <v>1.7599999999999092</v>
      </c>
      <c r="M31" s="135">
        <f>'Stage 5'!M31</f>
        <v>28.629999999999903</v>
      </c>
      <c r="N31" s="71">
        <f>'Stage 6'!N31</f>
        <v>35.320000000000007</v>
      </c>
      <c r="O31" s="135">
        <f>'Stage 6'!O31</f>
        <v>63.94999999999991</v>
      </c>
      <c r="P31" s="71">
        <f>'Stage 7'!P31</f>
        <v>228.78</v>
      </c>
      <c r="Q31" s="135">
        <f>'Stage 7'!Q31</f>
        <v>292.7299999999999</v>
      </c>
      <c r="R31" s="71">
        <f>'Stage 8'!R31</f>
        <v>171.26999999999998</v>
      </c>
      <c r="S31" s="135">
        <f>'Stage 8'!S31</f>
        <v>463.99999999999989</v>
      </c>
      <c r="T31" s="71">
        <f>'Stage 9'!T31</f>
        <v>0</v>
      </c>
      <c r="U31" s="135">
        <f>'Stage 9'!U31</f>
        <v>463.99999999999989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7"/>
        <v>0</v>
      </c>
      <c r="AB31" s="5"/>
      <c r="AC31" s="100">
        <f t="shared" si="13"/>
        <v>0</v>
      </c>
      <c r="AD31" s="110"/>
      <c r="AE31" s="5">
        <f t="shared" si="16"/>
        <v>0</v>
      </c>
      <c r="AF31" s="5">
        <f t="shared" si="14"/>
        <v>0</v>
      </c>
      <c r="AG31" s="96">
        <f t="shared" si="15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203</v>
      </c>
      <c r="BA31" s="3" t="s">
        <v>204</v>
      </c>
      <c r="BB31" s="3"/>
      <c r="BC31" s="50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V31" t="s">
        <v>119</v>
      </c>
      <c r="BW31" s="5">
        <f>BT29+BV29+BX29+BZ29+CB29+CD29</f>
        <v>0</v>
      </c>
      <c r="BX31" s="311"/>
      <c r="BY31" s="311"/>
      <c r="BZ31" s="5">
        <f>BW69-BW31</f>
        <v>0</v>
      </c>
      <c r="CB31" s="327" t="s">
        <v>293</v>
      </c>
      <c r="CC31" s="328"/>
      <c r="CD31" s="328"/>
      <c r="CE31" s="32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1"/>
      <c r="I32" s="135">
        <f>'Stage 3'!I32</f>
        <v>7496</v>
      </c>
      <c r="J32" s="192"/>
      <c r="K32" s="135">
        <f>'Stage 4'!K32</f>
        <v>7495.9999999999991</v>
      </c>
      <c r="L32" s="192"/>
      <c r="M32" s="135">
        <f>'Stage 5'!M32</f>
        <v>7495.9999999999991</v>
      </c>
      <c r="N32" s="192"/>
      <c r="O32" s="135">
        <f>'Stage 6'!O32</f>
        <v>7496</v>
      </c>
      <c r="P32" s="192"/>
      <c r="Q32" s="135">
        <f>'Stage 7'!Q32</f>
        <v>7496</v>
      </c>
      <c r="R32" s="192"/>
      <c r="S32" s="135">
        <f>'Stage 8'!S32</f>
        <v>7496</v>
      </c>
      <c r="T32" s="192"/>
      <c r="U32" s="135">
        <f>'Stage 9'!U32</f>
        <v>6750.52</v>
      </c>
      <c r="V32" s="190"/>
      <c r="W32" s="135">
        <f>'Stage 10'!W32</f>
        <v>0</v>
      </c>
      <c r="Z32" s="95">
        <f>'Verification of Boxes'!J28</f>
        <v>0</v>
      </c>
      <c r="AA32" s="37">
        <f t="shared" si="17"/>
        <v>0</v>
      </c>
      <c r="AB32" s="5"/>
      <c r="AC32" s="100">
        <f t="shared" si="13"/>
        <v>0</v>
      </c>
      <c r="AD32" s="110"/>
      <c r="AE32" s="5">
        <f t="shared" si="16"/>
        <v>0</v>
      </c>
      <c r="AF32" s="5">
        <f t="shared" si="14"/>
        <v>0</v>
      </c>
      <c r="AG32" s="96">
        <f t="shared" si="15"/>
        <v>0</v>
      </c>
      <c r="AL32" s="330"/>
      <c r="AM32" s="331"/>
      <c r="AN32" s="331"/>
      <c r="AO32" s="331"/>
      <c r="AP32" s="331"/>
      <c r="AQ32" s="332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11"/>
      <c r="BG32" s="311"/>
      <c r="BX32" s="311"/>
      <c r="BY32" s="311"/>
      <c r="CB32" s="330"/>
      <c r="CC32" s="331"/>
      <c r="CD32" s="331"/>
      <c r="CE32" s="332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>I76</f>
        <v>0</v>
      </c>
      <c r="AB33" s="90"/>
      <c r="AC33" s="101">
        <f t="shared" si="13"/>
        <v>0</v>
      </c>
      <c r="AD33" s="147"/>
      <c r="AE33" s="90">
        <f t="shared" si="16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5">
        <f>'Stage 3'!I34</f>
        <v>0</v>
      </c>
      <c r="J34" s="219"/>
      <c r="K34" s="185">
        <f>'Stage 4'!K34</f>
        <v>0</v>
      </c>
      <c r="L34" s="219"/>
      <c r="M34" s="185">
        <f>'Stage 5'!M34</f>
        <v>0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0.77361111111111114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EWING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  <c r="AL44" s="5"/>
      <c r="AM44" s="5"/>
      <c r="AN44" s="5"/>
      <c r="AO44" s="5"/>
      <c r="AP44" s="5"/>
      <c r="AQ44" s="5"/>
    </row>
    <row r="45" spans="1:75" ht="18" customHeight="1" x14ac:dyDescent="0.35">
      <c r="Z45" s="253" t="str">
        <v>FLYNN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1:75" x14ac:dyDescent="0.25">
      <c r="Z46" s="253" t="str">
        <v>FRENCH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212</v>
      </c>
    </row>
    <row r="47" spans="1:75" ht="18.5" thickBot="1" x14ac:dyDescent="0.45">
      <c r="A47" s="76" t="str">
        <f>'Verification of Boxes'!B1</f>
        <v>Local Council Elections 2023</v>
      </c>
      <c r="F47" s="10" t="s">
        <v>280</v>
      </c>
      <c r="J47" s="85" t="s">
        <v>37</v>
      </c>
      <c r="K47" s="319">
        <f>'Basic Input'!C2</f>
        <v>45064</v>
      </c>
      <c r="L47" s="319"/>
      <c r="Z47" s="253" t="str">
        <v>GIVAN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7.5" customHeight="1" thickBot="1" x14ac:dyDescent="0.45">
      <c r="A48" s="10" t="str">
        <f>'Verification of Boxes'!A3</f>
        <v>District Electoral Area of</v>
      </c>
      <c r="D48" s="10" t="str">
        <f>'Verification of Boxes'!B3</f>
        <v>Lisburn South</v>
      </c>
      <c r="O48" s="345" t="s">
        <v>289</v>
      </c>
      <c r="P48" s="346"/>
      <c r="Q48" s="346"/>
      <c r="R48" s="346"/>
      <c r="S48" s="347"/>
      <c r="Z48" s="253" t="str">
        <v>GREHAN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EWING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W48" t="s">
        <v>218</v>
      </c>
    </row>
    <row r="49" spans="1:75" ht="19.5" customHeight="1" thickBot="1" x14ac:dyDescent="0.35">
      <c r="C49" s="3" t="s">
        <v>96</v>
      </c>
      <c r="D49" s="68">
        <f>'Verification of Boxes'!L2</f>
        <v>16838</v>
      </c>
      <c r="E49" s="306" t="s">
        <v>62</v>
      </c>
      <c r="F49" s="307"/>
      <c r="G49" s="131">
        <f>'Verification of Boxes'!G3</f>
        <v>6</v>
      </c>
      <c r="H49" s="306" t="s">
        <v>97</v>
      </c>
      <c r="I49" s="307"/>
      <c r="J49" s="131">
        <f>'Verification of Boxes'!L33</f>
        <v>99</v>
      </c>
      <c r="K49" s="306" t="s">
        <v>98</v>
      </c>
      <c r="L49" s="307"/>
      <c r="M49" s="131">
        <f>'Verification of Boxes'!G4</f>
        <v>1071</v>
      </c>
      <c r="O49" s="376" t="s">
        <v>279</v>
      </c>
      <c r="P49" s="377"/>
      <c r="Q49" s="377"/>
      <c r="R49" s="377"/>
      <c r="S49" s="378"/>
      <c r="Z49" s="253" t="str">
        <v>KENNEDY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FLYNN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EWING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4.5" customHeight="1" thickBot="1" x14ac:dyDescent="0.45">
      <c r="A50" s="10"/>
      <c r="C50" s="3" t="s">
        <v>99</v>
      </c>
      <c r="D50" s="131">
        <f>'Verification of Boxes'!L3</f>
        <v>7595</v>
      </c>
      <c r="E50" s="161" t="s">
        <v>100</v>
      </c>
      <c r="F50" s="160"/>
      <c r="G50" s="67">
        <f>D50-J49</f>
        <v>7496</v>
      </c>
      <c r="H50" s="161" t="s">
        <v>101</v>
      </c>
      <c r="I50" s="160"/>
      <c r="J50" s="132">
        <f>'Verification of Boxes'!L5</f>
        <v>45.106307162370825</v>
      </c>
      <c r="O50" s="345" t="s">
        <v>291</v>
      </c>
      <c r="P50" s="346"/>
      <c r="Q50" s="346"/>
      <c r="R50" s="346"/>
      <c r="S50" s="347"/>
      <c r="U50" s="311" t="str">
        <f>IF(K79="ERROR","DO NOT MOVE TO NEXT STAGE","OK TO MOVE TO NEXT STAGE")</f>
        <v>DO NOT MOVE TO NEXT STAGE</v>
      </c>
      <c r="V50" s="311"/>
      <c r="W50" s="311"/>
      <c r="Z50" s="253" t="str">
        <v>MCEVOY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FRENCH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FLYNN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MITCHELL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GIVAN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FRENCH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94</v>
      </c>
      <c r="F52" s="288" t="s">
        <v>111</v>
      </c>
      <c r="G52" s="290"/>
      <c r="H52" s="288" t="s">
        <v>272</v>
      </c>
      <c r="I52" s="290"/>
      <c r="J52" s="288" t="s">
        <v>280</v>
      </c>
      <c r="K52" s="290"/>
      <c r="L52" s="288" t="s">
        <v>281</v>
      </c>
      <c r="M52" s="290"/>
      <c r="N52" s="288" t="s">
        <v>282</v>
      </c>
      <c r="O52" s="290"/>
      <c r="P52" s="288" t="s">
        <v>283</v>
      </c>
      <c r="Q52" s="290"/>
      <c r="R52" s="288" t="s">
        <v>284</v>
      </c>
      <c r="S52" s="290"/>
      <c r="T52" s="288" t="s">
        <v>285</v>
      </c>
      <c r="U52" s="290"/>
      <c r="V52" s="288" t="s">
        <v>286</v>
      </c>
      <c r="W52" s="290"/>
      <c r="Z52" s="253" t="str">
        <v>PALMER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GREHAN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GIVAN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IF($AT5=0,0,IF($AT5="T",$AZ7,$BR4))</f>
        <v>0</v>
      </c>
      <c r="K53" s="362"/>
      <c r="L53" s="361"/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 t="str">
        <v>PORTER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KENNEDY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GREHAN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59">
        <f>IF($J53="Transfer",$BA8,$BT3)</f>
        <v>0</v>
      </c>
      <c r="K54" s="360"/>
      <c r="L54" s="359"/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MCEVOY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KENNEDY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8" t="s">
        <v>112</v>
      </c>
      <c r="G55" s="290"/>
      <c r="H55" s="288" t="s">
        <v>112</v>
      </c>
      <c r="I55" s="290"/>
      <c r="J55" s="288" t="s">
        <v>112</v>
      </c>
      <c r="K55" s="290"/>
      <c r="L55" s="288" t="s">
        <v>112</v>
      </c>
      <c r="M55" s="290"/>
      <c r="N55" s="288" t="s">
        <v>112</v>
      </c>
      <c r="O55" s="290"/>
      <c r="P55" s="288" t="s">
        <v>112</v>
      </c>
      <c r="Q55" s="290"/>
      <c r="R55" s="288" t="s">
        <v>112</v>
      </c>
      <c r="S55" s="290"/>
      <c r="T55" s="288" t="s">
        <v>112</v>
      </c>
      <c r="U55" s="290"/>
      <c r="V55" s="288" t="s">
        <v>112</v>
      </c>
      <c r="W55" s="290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MITCHELL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MCEVOY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113</v>
      </c>
      <c r="B56" s="18" t="s">
        <v>114</v>
      </c>
      <c r="C56" s="16" t="s">
        <v>115</v>
      </c>
      <c r="D56" s="32" t="s">
        <v>116</v>
      </c>
      <c r="E56" s="1" t="s">
        <v>117</v>
      </c>
      <c r="F56" s="115"/>
      <c r="G56" s="116" t="s">
        <v>83</v>
      </c>
      <c r="H56" s="136"/>
      <c r="I56" s="137" t="s">
        <v>83</v>
      </c>
      <c r="J56" s="134"/>
      <c r="K56" s="137" t="s">
        <v>83</v>
      </c>
      <c r="L56" s="136"/>
      <c r="M56" s="137" t="s">
        <v>83</v>
      </c>
      <c r="N56" s="136"/>
      <c r="O56" s="137" t="s">
        <v>83</v>
      </c>
      <c r="P56" s="136"/>
      <c r="Q56" s="137" t="s">
        <v>83</v>
      </c>
      <c r="R56" s="136"/>
      <c r="S56" s="137" t="s">
        <v>83</v>
      </c>
      <c r="T56" s="136"/>
      <c r="U56" s="137" t="s">
        <v>83</v>
      </c>
      <c r="V56" s="136"/>
      <c r="W56" s="137" t="s">
        <v>83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PALMER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MITCHELL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11'!A57&lt;&gt;0,'Stage 11'!A57,IF(K57&gt;=$M$3,"Elected",IF(BP8&lt;&gt;0,"Excluded",0)))</f>
        <v>Elected</v>
      </c>
      <c r="B57" s="235">
        <f>'Stage 11'!B57</f>
        <v>1</v>
      </c>
      <c r="C57" s="29" t="str">
        <f>'Verification of Boxes'!J10</f>
        <v>EWING</v>
      </c>
      <c r="D57" s="152" t="str">
        <f>'Verification of Boxes'!K10</f>
        <v>D.U.P.</v>
      </c>
      <c r="E57" s="108">
        <f>'Verification of Boxes'!L10</f>
        <v>1139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159">
        <f t="shared" ref="J57:J76" si="42">IF($C57&lt;&gt;0,$BK49,0)</f>
        <v>0</v>
      </c>
      <c r="K57" s="39">
        <f t="shared" ref="K57:K77" si="43">IF(J$54=0,0,I57+J57)</f>
        <v>0</v>
      </c>
      <c r="L57" s="157"/>
      <c r="M57" s="37"/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PORTER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PALMER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11'!A58&lt;&gt;0,'Stage 11'!A58,IF(K58&gt;=$M$3,"Elected",IF(BP9&lt;&gt;0,"Excluded",0)))</f>
        <v>Excluded</v>
      </c>
      <c r="B58" s="235">
        <f>'Stage 11'!B58</f>
        <v>0</v>
      </c>
      <c r="C58" s="20" t="str">
        <f>'Verification of Boxes'!J11</f>
        <v>FLYNN</v>
      </c>
      <c r="D58" s="153" t="str">
        <f>'Verification of Boxes'!K11</f>
        <v>Sinn Féin</v>
      </c>
      <c r="E58" s="109">
        <f>'Verification of Boxes'!L11</f>
        <v>493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159">
        <f t="shared" si="42"/>
        <v>0</v>
      </c>
      <c r="K58" s="39">
        <f t="shared" si="43"/>
        <v>0</v>
      </c>
      <c r="L58" s="157"/>
      <c r="M58" s="37"/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PORTER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11'!A59&lt;&gt;0,'Stage 11'!A59,IF(K59&gt;=$M$3,"Elected",IF(BP10&lt;&gt;0,"Excluded",0)))</f>
        <v>Excluded</v>
      </c>
      <c r="B59" s="235">
        <f>'Stage 11'!B59</f>
        <v>0</v>
      </c>
      <c r="C59" s="20" t="str">
        <f>'Verification of Boxes'!J12</f>
        <v>FRENCH</v>
      </c>
      <c r="D59" s="153" t="str">
        <f>'Verification of Boxes'!K12</f>
        <v xml:space="preserve">SDLP </v>
      </c>
      <c r="E59" s="109">
        <f>'Verification of Boxes'!L12</f>
        <v>472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159">
        <f t="shared" si="42"/>
        <v>0</v>
      </c>
      <c r="K59" s="39">
        <f t="shared" si="43"/>
        <v>0</v>
      </c>
      <c r="L59" s="157"/>
      <c r="M59" s="37"/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11'!A60&lt;&gt;0,'Stage 11'!A60,IF(K60&gt;=$M$3,"Elected",IF(BP11&lt;&gt;0,"Excluded",0)))</f>
        <v>Elected</v>
      </c>
      <c r="B60" s="235">
        <f>'Stage 11'!B60</f>
        <v>3</v>
      </c>
      <c r="C60" s="20" t="str">
        <f>'Verification of Boxes'!J13</f>
        <v>GIVAN</v>
      </c>
      <c r="D60" s="153" t="str">
        <f>'Verification of Boxes'!K13</f>
        <v>D.U.P.</v>
      </c>
      <c r="E60" s="109">
        <f>'Verification of Boxes'!L13</f>
        <v>1038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159">
        <f t="shared" si="42"/>
        <v>0</v>
      </c>
      <c r="K60" s="39">
        <f t="shared" si="43"/>
        <v>0</v>
      </c>
      <c r="L60" s="157"/>
      <c r="M60" s="37"/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11'!A61&lt;&gt;0,'Stage 11'!A61,IF(K61&gt;=$M$3,"Elected",IF(BP12&lt;&gt;0,"Excluded",0)))</f>
        <v>Elected</v>
      </c>
      <c r="B61" s="235">
        <f>'Stage 11'!B61</f>
        <v>2</v>
      </c>
      <c r="C61" s="20" t="str">
        <f>'Verification of Boxes'!J14</f>
        <v>GREHAN</v>
      </c>
      <c r="D61" s="153" t="str">
        <f>'Verification of Boxes'!K14</f>
        <v>Alliance Party</v>
      </c>
      <c r="E61" s="109">
        <f>'Verification of Boxes'!L14</f>
        <v>1111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159">
        <f t="shared" si="42"/>
        <v>0</v>
      </c>
      <c r="K61" s="39">
        <f t="shared" si="43"/>
        <v>0</v>
      </c>
      <c r="L61" s="157"/>
      <c r="M61" s="37"/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11'!A62&lt;&gt;0,'Stage 11'!A62,IF(K62&gt;=$M$3,"Elected",IF(BP13&lt;&gt;0,"Excluded",0)))</f>
        <v>Elected</v>
      </c>
      <c r="B62" s="235">
        <f>'Stage 11'!B62</f>
        <v>4</v>
      </c>
      <c r="C62" s="20" t="str">
        <f>'Verification of Boxes'!J15</f>
        <v>KENNEDY</v>
      </c>
      <c r="D62" s="153" t="str">
        <f>'Verification of Boxes'!K15</f>
        <v>Alliance Party</v>
      </c>
      <c r="E62" s="109">
        <f>'Verification of Boxes'!L15</f>
        <v>674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159">
        <f t="shared" si="42"/>
        <v>0</v>
      </c>
      <c r="K62" s="39">
        <f t="shared" si="43"/>
        <v>0</v>
      </c>
      <c r="L62" s="157"/>
      <c r="M62" s="37"/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11'!A63&lt;&gt;0,'Stage 11'!A63,IF(K63&gt;=$M$3,"Elected",IF(BP14&lt;&gt;0,"Excluded",0)))</f>
        <v>Excluded</v>
      </c>
      <c r="B63" s="235">
        <f>'Stage 11'!B63</f>
        <v>0</v>
      </c>
      <c r="C63" s="20" t="str">
        <f>'Verification of Boxes'!J16</f>
        <v>MCEVOY</v>
      </c>
      <c r="D63" s="153" t="str">
        <f>'Verification of Boxes'!K16</f>
        <v xml:space="preserve">TUV </v>
      </c>
      <c r="E63" s="109">
        <f>'Verification of Boxes'!L16</f>
        <v>387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159">
        <f t="shared" si="42"/>
        <v>0</v>
      </c>
      <c r="K63" s="39">
        <f t="shared" si="43"/>
        <v>0</v>
      </c>
      <c r="L63" s="157"/>
      <c r="M63" s="37"/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>
        <f>IF('Stage 11'!A64&lt;&gt;0,'Stage 11'!A64,IF(K64&gt;=$M$3,"Elected",IF(BP15&lt;&gt;0,"Excluded",0)))</f>
        <v>0</v>
      </c>
      <c r="B64" s="235">
        <f>'Stage 11'!B64</f>
        <v>5</v>
      </c>
      <c r="C64" s="20" t="str">
        <f>'Verification of Boxes'!J17</f>
        <v>MITCHELL</v>
      </c>
      <c r="D64" s="153" t="str">
        <f>'Verification of Boxes'!K17</f>
        <v>UUP</v>
      </c>
      <c r="E64" s="109">
        <f>'Verification of Boxes'!L17</f>
        <v>870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159">
        <f t="shared" si="42"/>
        <v>0</v>
      </c>
      <c r="K64" s="39">
        <f t="shared" si="43"/>
        <v>0</v>
      </c>
      <c r="L64" s="157"/>
      <c r="M64" s="37"/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11'!A65&lt;&gt;0,'Stage 11'!A65,IF(K65&gt;=$M$3,"Elected",IF(BP16&lt;&gt;0,"Excluded",0)))</f>
        <v>Excluded</v>
      </c>
      <c r="B65" s="235">
        <f>'Stage 11'!B65</f>
        <v>0</v>
      </c>
      <c r="C65" s="20" t="str">
        <f>'Verification of Boxes'!J18</f>
        <v>PALMER</v>
      </c>
      <c r="D65" s="153" t="str">
        <f>'Verification of Boxes'!K18</f>
        <v>UUP</v>
      </c>
      <c r="E65" s="109">
        <f>'Verification of Boxes'!L18</f>
        <v>625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159">
        <f t="shared" si="42"/>
        <v>0</v>
      </c>
      <c r="K65" s="39">
        <f t="shared" si="43"/>
        <v>0</v>
      </c>
      <c r="L65" s="157"/>
      <c r="M65" s="37"/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11'!A66&lt;&gt;0,'Stage 11'!A66,IF(K66&gt;=$M$3,"Elected",IF(BP17&lt;&gt;0,"Excluded",0)))</f>
        <v>0</v>
      </c>
      <c r="B66" s="235">
        <f>'Stage 11'!B66</f>
        <v>6</v>
      </c>
      <c r="C66" s="20" t="str">
        <f>'Verification of Boxes'!J19</f>
        <v>PORTER</v>
      </c>
      <c r="D66" s="153" t="str">
        <f>'Verification of Boxes'!K19</f>
        <v>D.U.P.</v>
      </c>
      <c r="E66" s="109">
        <f>'Verification of Boxes'!L19</f>
        <v>687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159">
        <f t="shared" si="42"/>
        <v>0</v>
      </c>
      <c r="K66" s="39">
        <f t="shared" si="43"/>
        <v>0</v>
      </c>
      <c r="L66" s="157"/>
      <c r="M66" s="37"/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11'!A67&lt;&gt;0,'Stage 11'!A67,IF(K67&gt;=$M$3,"Elected",IF(BP18&lt;&gt;0,"Excluded",0)))</f>
        <v>0</v>
      </c>
      <c r="B67" s="235">
        <f>'Stage 11'!B67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159">
        <f t="shared" si="42"/>
        <v>0</v>
      </c>
      <c r="K67" s="39">
        <f t="shared" si="43"/>
        <v>0</v>
      </c>
      <c r="L67" s="157"/>
      <c r="M67" s="37"/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11'!A68&lt;&gt;0,'Stage 11'!A68,IF(K68&gt;=$M$3,"Elected",IF(BP19&lt;&gt;0,"Excluded",0)))</f>
        <v>0</v>
      </c>
      <c r="B68" s="235">
        <f>'Stage 11'!B68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159">
        <f t="shared" si="42"/>
        <v>0</v>
      </c>
      <c r="K68" s="39">
        <f t="shared" si="43"/>
        <v>0</v>
      </c>
      <c r="L68" s="157"/>
      <c r="M68" s="37"/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11'!A69&lt;&gt;0,'Stage 11'!A69,IF(K69&gt;=$M$3,"Elected",IF(BP20&lt;&gt;0,"Excluded",0)))</f>
        <v>0</v>
      </c>
      <c r="B69" s="235">
        <f>'Stage 11'!B69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159">
        <f t="shared" si="42"/>
        <v>0</v>
      </c>
      <c r="K69" s="39">
        <f t="shared" si="43"/>
        <v>0</v>
      </c>
      <c r="L69" s="157"/>
      <c r="M69" s="37"/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219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11'!A70&lt;&gt;0,'Stage 11'!A70,IF(K70&gt;=$M$3,"Elected",IF(BP21&lt;&gt;0,"Excluded",0)))</f>
        <v>0</v>
      </c>
      <c r="B70" s="235">
        <f>'Stage 11'!B70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159">
        <f t="shared" si="42"/>
        <v>0</v>
      </c>
      <c r="K70" s="39">
        <f t="shared" si="43"/>
        <v>0</v>
      </c>
      <c r="L70" s="157"/>
      <c r="M70" s="37"/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11'!A71&lt;&gt;0,'Stage 11'!A71,IF(K71&gt;=$M$3,"Elected",IF(BP22&lt;&gt;0,"Excluded",0)))</f>
        <v>0</v>
      </c>
      <c r="B71" s="235">
        <f>'Stage 11'!B71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159">
        <f t="shared" si="42"/>
        <v>0</v>
      </c>
      <c r="K71" s="39">
        <f t="shared" si="43"/>
        <v>0</v>
      </c>
      <c r="L71" s="157"/>
      <c r="M71" s="37"/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11'!A72&lt;&gt;0,'Stage 11'!A72,IF(K72&gt;=$M$3,"Elected",IF(BP23&lt;&gt;0,"Excluded",0)))</f>
        <v>0</v>
      </c>
      <c r="B72" s="235">
        <f>'Stage 11'!B72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159">
        <f t="shared" si="42"/>
        <v>0</v>
      </c>
      <c r="K72" s="39">
        <f t="shared" si="43"/>
        <v>0</v>
      </c>
      <c r="L72" s="157"/>
      <c r="M72" s="37"/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11'!A73&lt;&gt;0,'Stage 11'!A73,IF(K73&gt;=$M$3,"Elected",IF(BP24&lt;&gt;0,"Excluded",0)))</f>
        <v>0</v>
      </c>
      <c r="B73" s="235">
        <f>'Stage 11'!B73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159">
        <f t="shared" si="42"/>
        <v>0</v>
      </c>
      <c r="K73" s="39">
        <f t="shared" si="43"/>
        <v>0</v>
      </c>
      <c r="L73" s="157"/>
      <c r="M73" s="37"/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11'!A74&lt;&gt;0,'Stage 11'!A74,IF(K74&gt;=$M$3,"Elected",IF(BP25&lt;&gt;0,"Excluded",0)))</f>
        <v>0</v>
      </c>
      <c r="B74" s="235">
        <f>'Stage 11'!B74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159">
        <f t="shared" si="42"/>
        <v>0</v>
      </c>
      <c r="K74" s="39">
        <f t="shared" si="43"/>
        <v>0</v>
      </c>
      <c r="L74" s="157"/>
      <c r="M74" s="37"/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11'!A75&lt;&gt;0,'Stage 11'!A75,IF(K75&gt;=$M$3,"Elected",IF(BP26&lt;&gt;0,"Excluded",0)))</f>
        <v>0</v>
      </c>
      <c r="B75" s="235">
        <f>'Stage 11'!B75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159">
        <f t="shared" si="42"/>
        <v>0</v>
      </c>
      <c r="K75" s="39">
        <f t="shared" si="43"/>
        <v>0</v>
      </c>
      <c r="L75" s="157"/>
      <c r="M75" s="37"/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11'!A76&lt;&gt;0,'Stage 11'!A76,IF(K76&gt;=$M$3,"Elected",IF(BP27&lt;&gt;0,"Excluded",0)))</f>
        <v>0</v>
      </c>
      <c r="B76" s="235">
        <f>'Stage 11'!B76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159">
        <f t="shared" si="42"/>
        <v>0</v>
      </c>
      <c r="K76" s="39">
        <f t="shared" si="43"/>
        <v>0</v>
      </c>
      <c r="L76" s="157"/>
      <c r="M76" s="37"/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118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$BK69</f>
        <v>0</v>
      </c>
      <c r="K77" s="41">
        <f t="shared" si="43"/>
        <v>0</v>
      </c>
      <c r="L77" s="157"/>
      <c r="M77" s="37"/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119</v>
      </c>
      <c r="E78" s="45">
        <f>SUM(E57:E76)</f>
        <v>7496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50">
        <f>SUM(K57:K77)</f>
        <v>0</v>
      </c>
      <c r="L78" s="202"/>
      <c r="M78" s="37"/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t="str">
        <f>IF(K78=$G50,"Totals Correct","ERROR")</f>
        <v>ERROR</v>
      </c>
    </row>
    <row r="80" spans="1:75" ht="13" thickBot="1" x14ac:dyDescent="0.3">
      <c r="D80" s="42" t="s">
        <v>120</v>
      </c>
      <c r="E80" s="185">
        <f>'Stage 2'!E80</f>
        <v>0</v>
      </c>
      <c r="F80" s="219"/>
      <c r="G80" s="185">
        <f>'Stage 10'!W34</f>
        <v>0</v>
      </c>
      <c r="H80" s="219"/>
      <c r="I80" s="185">
        <f>'Stage 11'!I80</f>
        <v>0</v>
      </c>
      <c r="J80" s="219"/>
      <c r="K80" s="183"/>
      <c r="L80" s="219"/>
      <c r="M80" s="185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294</v>
      </c>
      <c r="DF210" s="231" t="s">
        <v>221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J57</f>
        <v>0</v>
      </c>
      <c r="DF211" s="233">
        <f>K57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FLYNN</v>
      </c>
      <c r="DC212" s="232" t="str">
        <f t="shared" si="49"/>
        <v>Sinn Féin</v>
      </c>
      <c r="DD212" s="233">
        <f t="shared" si="49"/>
        <v>493</v>
      </c>
      <c r="DE212" s="233">
        <f t="shared" ref="DE212:DF212" si="50">J58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FRENCH</v>
      </c>
      <c r="DC213" s="232" t="str">
        <f t="shared" si="49"/>
        <v xml:space="preserve">SDLP </v>
      </c>
      <c r="DD213" s="233">
        <f t="shared" si="49"/>
        <v>472</v>
      </c>
      <c r="DE213" s="233">
        <f t="shared" ref="DE213:DF213" si="51">J59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GIVAN</v>
      </c>
      <c r="DC214" s="232" t="str">
        <f t="shared" si="49"/>
        <v>D.U.P.</v>
      </c>
      <c r="DD214" s="233">
        <f t="shared" si="49"/>
        <v>1038</v>
      </c>
      <c r="DE214" s="233">
        <f t="shared" ref="DE214:DF214" si="52">J60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E2</v>
      </c>
      <c r="DB215" s="232" t="str">
        <f t="shared" si="49"/>
        <v>GREHAN</v>
      </c>
      <c r="DC215" s="232" t="str">
        <f t="shared" si="49"/>
        <v>Alliance Party</v>
      </c>
      <c r="DD215" s="233">
        <f t="shared" si="49"/>
        <v>1111</v>
      </c>
      <c r="DE215" s="233">
        <f t="shared" ref="DE215:DF215" si="53">J61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E4</v>
      </c>
      <c r="DB216" s="232" t="str">
        <f t="shared" si="49"/>
        <v>KENNEDY</v>
      </c>
      <c r="DC216" s="232" t="str">
        <f t="shared" si="49"/>
        <v>Alliance Party</v>
      </c>
      <c r="DD216" s="233">
        <f t="shared" si="49"/>
        <v>674</v>
      </c>
      <c r="DE216" s="233">
        <f t="shared" ref="DE216:DF216" si="54">J62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MCEVOY</v>
      </c>
      <c r="DC217" s="232" t="str">
        <f t="shared" si="49"/>
        <v xml:space="preserve">TUV </v>
      </c>
      <c r="DD217" s="233">
        <f t="shared" si="49"/>
        <v>387</v>
      </c>
      <c r="DE217" s="233">
        <f t="shared" ref="DE217:DF217" si="55">J63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5</v>
      </c>
      <c r="DB218" s="232" t="str">
        <f t="shared" si="49"/>
        <v>MITCHELL</v>
      </c>
      <c r="DC218" s="232" t="str">
        <f t="shared" si="49"/>
        <v>UUP</v>
      </c>
      <c r="DD218" s="233">
        <f t="shared" si="49"/>
        <v>870</v>
      </c>
      <c r="DE218" s="233">
        <f t="shared" ref="DE218:DF218" si="56">J64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PALMER</v>
      </c>
      <c r="DC219" s="232" t="str">
        <f t="shared" si="49"/>
        <v>UUP</v>
      </c>
      <c r="DD219" s="233">
        <f t="shared" si="49"/>
        <v>625</v>
      </c>
      <c r="DE219" s="233">
        <f t="shared" ref="DE219:DF219" si="57">J65</f>
        <v>0</v>
      </c>
      <c r="DF219" s="233">
        <f t="shared" si="57"/>
        <v>0</v>
      </c>
    </row>
    <row r="220" spans="105:110" ht="15.5" x14ac:dyDescent="0.35">
      <c r="DA220" s="232" t="str">
        <f t="shared" si="48"/>
        <v>6</v>
      </c>
      <c r="DB220" s="232" t="str">
        <f t="shared" si="49"/>
        <v>PORTER</v>
      </c>
      <c r="DC220" s="232" t="str">
        <f t="shared" si="49"/>
        <v>D.U.P.</v>
      </c>
      <c r="DD220" s="233">
        <f t="shared" si="49"/>
        <v>687</v>
      </c>
      <c r="DE220" s="233">
        <f t="shared" ref="DE220:DF220" si="58">J66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J67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J68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J69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J70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J71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J72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J73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J74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J75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J76</f>
        <v>0</v>
      </c>
      <c r="DF230" s="233">
        <f t="shared" si="69"/>
        <v>0</v>
      </c>
    </row>
    <row r="231" spans="105:110" ht="15.5" x14ac:dyDescent="0.35">
      <c r="DC231" s="234" t="s">
        <v>123</v>
      </c>
      <c r="DD231" s="234"/>
      <c r="DE231" s="233">
        <f t="shared" ref="DE231:DF231" si="70">J77</f>
        <v>0</v>
      </c>
      <c r="DF231" s="233">
        <f t="shared" si="70"/>
        <v>0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 t="shared" ref="DF232" si="71">K78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K80" name="Range20_1"/>
    <protectedRange sqref="AQ5" name="Range3_1"/>
  </protectedRanges>
  <mergeCells count="128">
    <mergeCell ref="CB31:CE32"/>
    <mergeCell ref="U4:W4"/>
    <mergeCell ref="BF30:BG32"/>
    <mergeCell ref="BI30:BK31"/>
    <mergeCell ref="AJ20:AK20"/>
    <mergeCell ref="AZ22:AZ23"/>
    <mergeCell ref="AJ22:AK22"/>
    <mergeCell ref="AJ23:AK23"/>
    <mergeCell ref="AJ21:AK21"/>
    <mergeCell ref="AO20:AP20"/>
    <mergeCell ref="BX30:BY32"/>
    <mergeCell ref="Z6:AF7"/>
    <mergeCell ref="AO13:AO17"/>
    <mergeCell ref="Z4:AF4"/>
    <mergeCell ref="V7:W7"/>
    <mergeCell ref="AK9:AP10"/>
    <mergeCell ref="V8:W8"/>
    <mergeCell ref="T9:U9"/>
    <mergeCell ref="AL3:AQ3"/>
    <mergeCell ref="AL28:AQ29"/>
    <mergeCell ref="AL31:AQ32"/>
    <mergeCell ref="AJ25:AK25"/>
    <mergeCell ref="AJ24:AK24"/>
    <mergeCell ref="AO24:AP24"/>
    <mergeCell ref="AO25:AP25"/>
    <mergeCell ref="F54:G54"/>
    <mergeCell ref="H54:I54"/>
    <mergeCell ref="AO22:AP22"/>
    <mergeCell ref="AO23:AP23"/>
    <mergeCell ref="E4:F4"/>
    <mergeCell ref="F6:G6"/>
    <mergeCell ref="H6:I6"/>
    <mergeCell ref="F7:G7"/>
    <mergeCell ref="H7:I7"/>
    <mergeCell ref="AO21:AP21"/>
    <mergeCell ref="AK6:AP7"/>
    <mergeCell ref="T6:U6"/>
    <mergeCell ref="T7:U7"/>
    <mergeCell ref="T8:U8"/>
    <mergeCell ref="AL13:AL17"/>
    <mergeCell ref="F52:G52"/>
    <mergeCell ref="H52:I52"/>
    <mergeCell ref="T55:U55"/>
    <mergeCell ref="V55:W55"/>
    <mergeCell ref="F53:G53"/>
    <mergeCell ref="F55:G55"/>
    <mergeCell ref="H55:I55"/>
    <mergeCell ref="J55:K55"/>
    <mergeCell ref="L55:M55"/>
    <mergeCell ref="J54:K54"/>
    <mergeCell ref="L54:M54"/>
    <mergeCell ref="T53:U53"/>
    <mergeCell ref="V53:W53"/>
    <mergeCell ref="N55:O55"/>
    <mergeCell ref="P55:Q55"/>
    <mergeCell ref="R55:S55"/>
    <mergeCell ref="T54:U54"/>
    <mergeCell ref="V54:W54"/>
    <mergeCell ref="N54:O54"/>
    <mergeCell ref="P54:Q54"/>
    <mergeCell ref="R54:S54"/>
    <mergeCell ref="T52:U52"/>
    <mergeCell ref="V52:W52"/>
    <mergeCell ref="E49:F49"/>
    <mergeCell ref="H49:I49"/>
    <mergeCell ref="K49:L49"/>
    <mergeCell ref="U50:W50"/>
    <mergeCell ref="O48:S48"/>
    <mergeCell ref="O49:S49"/>
    <mergeCell ref="O50:S50"/>
    <mergeCell ref="N52:O52"/>
    <mergeCell ref="K1:L1"/>
    <mergeCell ref="H3:I3"/>
    <mergeCell ref="O4:S4"/>
    <mergeCell ref="O3:S3"/>
    <mergeCell ref="H4:I4"/>
    <mergeCell ref="P6:Q6"/>
    <mergeCell ref="H53:I53"/>
    <mergeCell ref="J53:K53"/>
    <mergeCell ref="L53:M53"/>
    <mergeCell ref="N53:O53"/>
    <mergeCell ref="P53:Q53"/>
    <mergeCell ref="R53:S53"/>
    <mergeCell ref="O2:S2"/>
    <mergeCell ref="P52:Q52"/>
    <mergeCell ref="R52:S52"/>
    <mergeCell ref="N7:O7"/>
    <mergeCell ref="R9:S9"/>
    <mergeCell ref="P8:Q8"/>
    <mergeCell ref="P7:Q7"/>
    <mergeCell ref="J52:K52"/>
    <mergeCell ref="L52:M52"/>
    <mergeCell ref="K47:L47"/>
    <mergeCell ref="L8:M8"/>
    <mergeCell ref="N8:O8"/>
    <mergeCell ref="F8:G8"/>
    <mergeCell ref="H8:I8"/>
    <mergeCell ref="J8:K8"/>
    <mergeCell ref="V6:W6"/>
    <mergeCell ref="J6:K6"/>
    <mergeCell ref="J7:K7"/>
    <mergeCell ref="L6:M6"/>
    <mergeCell ref="N6:O6"/>
    <mergeCell ref="L7:M7"/>
    <mergeCell ref="DE209:DF209"/>
    <mergeCell ref="Z2:AF2"/>
    <mergeCell ref="AN13:AN19"/>
    <mergeCell ref="F9:G9"/>
    <mergeCell ref="H9:I9"/>
    <mergeCell ref="J9:K9"/>
    <mergeCell ref="L9:M9"/>
    <mergeCell ref="N9:O9"/>
    <mergeCell ref="P9:Q9"/>
    <mergeCell ref="R8:S8"/>
    <mergeCell ref="R7:S7"/>
    <mergeCell ref="R6:S6"/>
    <mergeCell ref="Z3:AF3"/>
    <mergeCell ref="AM13:AM17"/>
    <mergeCell ref="CB2:CE2"/>
    <mergeCell ref="BI3:BK3"/>
    <mergeCell ref="BI2:BK2"/>
    <mergeCell ref="BT3:BZ3"/>
    <mergeCell ref="AQ13:AQ17"/>
    <mergeCell ref="AP13:AP17"/>
    <mergeCell ref="BP5:BP7"/>
    <mergeCell ref="AQ6:AR7"/>
    <mergeCell ref="AQ9:AR10"/>
    <mergeCell ref="E3:F3"/>
  </mergeCells>
  <phoneticPr fontId="0" type="noConversion"/>
  <conditionalFormatting sqref="AL3">
    <cfRule type="cellIs" dxfId="59" priority="1" stopIfTrue="1" operator="notEqual">
      <formula>0</formula>
    </cfRule>
  </conditionalFormatting>
  <conditionalFormatting sqref="BF30:BG31">
    <cfRule type="cellIs" dxfId="58" priority="2" stopIfTrue="1" operator="equal">
      <formula>"NONE"</formula>
    </cfRule>
    <cfRule type="cellIs" dxfId="57" priority="3" stopIfTrue="1" operator="notEqual">
      <formula>"NONE"</formula>
    </cfRule>
  </conditionalFormatting>
  <conditionalFormatting sqref="V50:W50 V4:W4">
    <cfRule type="cellIs" dxfId="56" priority="4" stopIfTrue="1" operator="equal">
      <formula>"Totals Correct"</formula>
    </cfRule>
    <cfRule type="cellIs" dxfId="55" priority="5" stopIfTrue="1" operator="equal">
      <formula>"ERROR"</formula>
    </cfRule>
  </conditionalFormatting>
  <conditionalFormatting sqref="U50 U4">
    <cfRule type="cellIs" dxfId="54" priority="6" stopIfTrue="1" operator="equal">
      <formula>"OK TO MOVE TO NEXT STAGE"</formula>
    </cfRule>
    <cfRule type="cellIs" dxfId="53" priority="7" stopIfTrue="1" operator="equal">
      <formula>"DO NOT MOVE TO NEXT STAGE"</formula>
    </cfRule>
  </conditionalFormatting>
  <conditionalFormatting sqref="BX30">
    <cfRule type="cellIs" dxfId="52" priority="8" stopIfTrue="1" operator="equal">
      <formula>"Calculations OK"</formula>
    </cfRule>
    <cfRule type="cellIs" dxfId="51" priority="9" stopIfTrue="1" operator="equal">
      <formula>"Check Count for Error"</formula>
    </cfRule>
  </conditionalFormatting>
  <hyperlinks>
    <hyperlink ref="Z6:AF7" location="'Stage 11'!A83:W83" display="BACK to Overview of STAGE 11"/>
    <hyperlink ref="AL28" location="'Stage 2'!BI1" display="MOVE TO TRANSFER OF SURPLUS VOTES FORM"/>
    <hyperlink ref="AL31" location="'Stage 2'!CC1" display="MOVE TO EXCLUDE CANDIDATE FORM"/>
    <hyperlink ref="AL28:AQ29" location="'Stage 12'!AY1:BK1" display="MOVE TO TRANSFER OF SURPLUS VOTES FORM"/>
    <hyperlink ref="AL31:AQ32" location="'Stage 12'!BN1:CE1" display="MOVE TO EXCLUDE CANDIDATE FORM"/>
    <hyperlink ref="BI3:BK3" location="'Stage 12'!Y1:AR1" display="BACK to DECISION FORM"/>
    <hyperlink ref="BI30:BK31" location="'Stage 12'!A83:W83" display="FORWARD to OVERVIEW OF STAGE 12"/>
    <hyperlink ref="O50" location="'Stage 3'!A1" display="MOVE TO STAGE 3"/>
    <hyperlink ref="O48" location="'Stage 3'!A1" display="MOVE TO STAGE 3"/>
    <hyperlink ref="O48:S48" location="'Stage 12'!Y1:AR1" display="BACK to DECISION FORM Stage 12"/>
    <hyperlink ref="O50:S50" location="'Stage 13'!Y1:AR1" display="FORWARD TO STAGE 13"/>
    <hyperlink ref="CB31" location="'Stage 2'!A1" display="HOME TO OVERVIEW OF STAGE 2"/>
    <hyperlink ref="CB31:CE32" location="'Stage 12'!A83:W83" display="FORWARD to OVERVIEW OF STAGE 12"/>
    <hyperlink ref="CB2" location="'Stage 2'!AQ5" display="MOVE TO NEXT FORM"/>
    <hyperlink ref="CB2:CE2" location="'Stage 12'!Y1:AR1" display="BACK to DECISION FORM"/>
    <hyperlink ref="O4" location="'Stage 3'!A1" display="MOVE TO STAGE 3"/>
    <hyperlink ref="O2" location="'Stage 3'!A1" display="MOVE TO STAGE 3"/>
    <hyperlink ref="O2:S2" location="'Stage 12'!Y1:AR1" display="BACK to DECISION FORM Stage 12"/>
    <hyperlink ref="O4:S4" location="'Stage 13'!Y1:AR1" display="FORWARD TO STAGE 13"/>
    <hyperlink ref="O3:S3" location="'Stage 12'!A83:W83" display="OVERVIEW OF STAGES 10 - 12"/>
    <hyperlink ref="O49:S49" location="'Stage 12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F232"/>
  <sheetViews>
    <sheetView showGridLines="0" showZeros="0" topLeftCell="A10" zoomScale="75" workbookViewId="0">
      <selection activeCell="L54" sqref="L54:M5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3.453125" customWidth="1"/>
    <col min="25" max="25" width="5.0898437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54296875" customWidth="1"/>
    <col min="43" max="43" width="9.6328125" customWidth="1"/>
    <col min="44" max="44" width="17.36328125" customWidth="1"/>
    <col min="45" max="45" width="228.90625" customWidth="1"/>
    <col min="50" max="50" width="223.5429687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21.0898437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281</v>
      </c>
      <c r="J1" s="85" t="s">
        <v>37</v>
      </c>
      <c r="K1" s="319">
        <f>'Basic Input'!C2</f>
        <v>45064</v>
      </c>
      <c r="L1" s="319"/>
      <c r="Z1" s="10" t="s">
        <v>295</v>
      </c>
      <c r="AQ1" s="33"/>
      <c r="AZ1" s="10" t="s">
        <v>126</v>
      </c>
      <c r="BE1" s="34" t="str">
        <f>IF(AT5="T","COMPLETE THIS FORM","YOU HAVE NOT SELECTED TO COMPLETE THIS FORM")</f>
        <v>YOU HAVE NOT SELECTED TO COMPLETE THIS FORM</v>
      </c>
      <c r="BR1" s="10" t="s">
        <v>127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296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I2" s="313"/>
      <c r="BJ2" s="313"/>
      <c r="BK2" s="313"/>
      <c r="BR2" s="36" t="s">
        <v>281</v>
      </c>
      <c r="CB2" s="345" t="s">
        <v>131</v>
      </c>
      <c r="CC2" s="346"/>
      <c r="CD2" s="346"/>
      <c r="CE2" s="347"/>
    </row>
    <row r="3" spans="1:105" ht="18.5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76" t="s">
        <v>297</v>
      </c>
      <c r="P3" s="377"/>
      <c r="Q3" s="377"/>
      <c r="R3" s="377"/>
      <c r="S3" s="378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0</v>
      </c>
      <c r="AJ3" s="163"/>
      <c r="AK3" s="163"/>
      <c r="AL3" s="352">
        <f>IF(AQ5="n","MOVE TO EXCLUDE CANDIDATE FORM",IF(AQ5="y","MOVE TO TRANSFER OF SURPLUS VOTES FORM",0))</f>
        <v>0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L3" s="114"/>
      <c r="BR3" s="81" t="s">
        <v>133</v>
      </c>
      <c r="BS3" s="82"/>
      <c r="BT3" s="348"/>
      <c r="BU3" s="349"/>
      <c r="BV3" s="349"/>
      <c r="BW3" s="349"/>
      <c r="BX3" s="349"/>
      <c r="BY3" s="349"/>
      <c r="BZ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298</v>
      </c>
      <c r="P4" s="346"/>
      <c r="Q4" s="346"/>
      <c r="R4" s="346"/>
      <c r="S4" s="347"/>
      <c r="U4" s="311" t="str">
        <f>IF(M79="ERROR","DO NOT MOVE TO NEXT STAGE","OK TO MOVE TO NEXT STAGE")</f>
        <v>DO NOT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IF(C57=0,0,IF(K57=0,"Excluded",0))</f>
        <v>Excluded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27" t="s">
        <v>299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Transfer</v>
      </c>
      <c r="AR6" s="302"/>
      <c r="AS6" s="181"/>
      <c r="AT6" s="91"/>
      <c r="AU6" s="91"/>
      <c r="AW6" s="33"/>
      <c r="AX6" s="33"/>
      <c r="AZ6" s="36" t="s">
        <v>281</v>
      </c>
      <c r="BA6" s="245"/>
      <c r="BE6" s="61" t="str">
        <f>'Verification of Boxes'!J11</f>
        <v>FLYNN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4" si="2">IF(C58=0,0,IF(K58=0,"Excluded",0))</f>
        <v>Excluded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Exclude</v>
      </c>
      <c r="U7" s="362"/>
      <c r="V7" s="361">
        <f>'Stage 10'!V7:W7</f>
        <v>0</v>
      </c>
      <c r="W7" s="362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EWING</v>
      </c>
      <c r="G8" s="364"/>
      <c r="H8" s="359" t="str">
        <f>'Stage 3'!H8:I8</f>
        <v xml:space="preserve"> MCEVOY</v>
      </c>
      <c r="I8" s="360"/>
      <c r="J8" s="359" t="str">
        <f>'Stage 4'!J8:K8</f>
        <v>GREHAN</v>
      </c>
      <c r="K8" s="360"/>
      <c r="L8" s="359" t="str">
        <f>'Stage 5'!L8:M8</f>
        <v>GIVAN</v>
      </c>
      <c r="M8" s="360"/>
      <c r="N8" s="359" t="str">
        <f>'Stage 6'!N8:O8</f>
        <v>FRENCH</v>
      </c>
      <c r="O8" s="360"/>
      <c r="P8" s="359" t="str">
        <f>'Stage 7'!P8:Q8</f>
        <v>FLYNN</v>
      </c>
      <c r="Q8" s="360"/>
      <c r="R8" s="359" t="str">
        <f>'Stage 8'!R8:S8</f>
        <v>KENNEDY</v>
      </c>
      <c r="S8" s="360"/>
      <c r="T8" s="359" t="str">
        <f>'Stage 9'!T8:U8</f>
        <v>PALMER</v>
      </c>
      <c r="U8" s="360"/>
      <c r="V8" s="359">
        <f>'Stage 10'!V8:W8</f>
        <v>0</v>
      </c>
      <c r="W8" s="360"/>
      <c r="AA8" s="3"/>
      <c r="AI8" s="10"/>
      <c r="AJ8" s="10"/>
      <c r="AQ8" s="28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GIVAN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EWING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115" t="s">
        <v>112</v>
      </c>
      <c r="W9" s="116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Transfer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7">
        <f t="shared" si="3"/>
        <v>0</v>
      </c>
      <c r="BP9" s="66"/>
      <c r="BR9" s="9" t="str">
        <f>'Verification of Boxes'!J11</f>
        <v>FLYNN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113</v>
      </c>
      <c r="B10" s="18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KENNEDY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FRENCH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12'!B57</f>
        <v>1</v>
      </c>
      <c r="C11" s="30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>'Stage 3'!H11</f>
        <v>0</v>
      </c>
      <c r="I11" s="135">
        <f>'Stage 3'!I11</f>
        <v>1071</v>
      </c>
      <c r="J11" s="71">
        <f>'Stage 4'!J11</f>
        <v>0</v>
      </c>
      <c r="K11" s="135">
        <f>'Stage 4'!K11</f>
        <v>1071</v>
      </c>
      <c r="L11" s="71">
        <f>'Stage 5'!L11</f>
        <v>0</v>
      </c>
      <c r="M11" s="135">
        <f>'Stage 5'!M11</f>
        <v>1071</v>
      </c>
      <c r="N11" s="71">
        <f>'Stage 6'!N11</f>
        <v>0</v>
      </c>
      <c r="O11" s="135">
        <f>'Stage 6'!O11</f>
        <v>1071</v>
      </c>
      <c r="P11" s="71">
        <f>'Stage 7'!P11</f>
        <v>0</v>
      </c>
      <c r="Q11" s="135">
        <f>'Stage 7'!Q11</f>
        <v>1071</v>
      </c>
      <c r="R11" s="71">
        <f>'Stage 8'!R11</f>
        <v>0</v>
      </c>
      <c r="S11" s="135">
        <f>'Stage 8'!S11</f>
        <v>1071</v>
      </c>
      <c r="T11" s="71">
        <f>'Stage 9'!T11</f>
        <v>0</v>
      </c>
      <c r="U11" s="135">
        <f>'Stage 9'!U11</f>
        <v>1071</v>
      </c>
      <c r="V11" s="71">
        <f>'Stage 10'!V11</f>
        <v>0</v>
      </c>
      <c r="W11" s="135">
        <f>'Stage 10'!W11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Excluded</v>
      </c>
      <c r="B12" s="235">
        <f>'Stage 12'!B58</f>
        <v>0</v>
      </c>
      <c r="C12" s="31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>'Stage 3'!H12</f>
        <v>1</v>
      </c>
      <c r="I12" s="135">
        <f>'Stage 3'!I12</f>
        <v>494.42</v>
      </c>
      <c r="J12" s="71">
        <f>'Stage 4'!J12</f>
        <v>0.48</v>
      </c>
      <c r="K12" s="135">
        <f>'Stage 4'!K12</f>
        <v>494.90000000000003</v>
      </c>
      <c r="L12" s="71">
        <f>'Stage 5'!L12</f>
        <v>0.04</v>
      </c>
      <c r="M12" s="135">
        <f>'Stage 5'!M12</f>
        <v>494.94000000000005</v>
      </c>
      <c r="N12" s="71">
        <f>'Stage 6'!N12</f>
        <v>176.15</v>
      </c>
      <c r="O12" s="135">
        <f>'Stage 6'!O12</f>
        <v>671.09</v>
      </c>
      <c r="P12" s="71">
        <f>'Stage 7'!P12</f>
        <v>-671.09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MITCHELL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12'!B59</f>
        <v>0</v>
      </c>
      <c r="C13" s="31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>'Stage 3'!H13</f>
        <v>4</v>
      </c>
      <c r="I13" s="135">
        <f>'Stage 3'!I13</f>
        <v>476.42</v>
      </c>
      <c r="J13" s="71">
        <f>'Stage 4'!J13</f>
        <v>0.89999999999999991</v>
      </c>
      <c r="K13" s="135">
        <f>'Stage 4'!K13</f>
        <v>477.32</v>
      </c>
      <c r="L13" s="71">
        <f>'Stage 5'!L13</f>
        <v>0.02</v>
      </c>
      <c r="M13" s="135">
        <f>'Stage 5'!M13</f>
        <v>477.34</v>
      </c>
      <c r="N13" s="71">
        <f>'Stage 6'!N13</f>
        <v>-477.34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115</v>
      </c>
      <c r="AA13" s="124" t="s">
        <v>168</v>
      </c>
      <c r="AB13" s="16"/>
      <c r="AC13" s="16" t="s">
        <v>169</v>
      </c>
      <c r="AD13" s="18"/>
      <c r="AE13" s="16" t="s">
        <v>170</v>
      </c>
      <c r="AF13" s="18" t="s">
        <v>171</v>
      </c>
      <c r="AG13" s="14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/>
      <c r="BE13" s="61" t="str">
        <f>'Verification of Boxes'!J18</f>
        <v>PALMER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KENNEDY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12'!B60</f>
        <v>3</v>
      </c>
      <c r="C14" s="31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>'Stage 3'!H14</f>
        <v>0</v>
      </c>
      <c r="I14" s="135">
        <f>'Stage 3'!I14</f>
        <v>1089.5999999999999</v>
      </c>
      <c r="J14" s="71">
        <f>'Stage 4'!J14</f>
        <v>0</v>
      </c>
      <c r="K14" s="135">
        <f>'Stage 4'!K14</f>
        <v>1089.5999999999999</v>
      </c>
      <c r="L14" s="71">
        <f>'Stage 5'!L14</f>
        <v>-18.599999999999909</v>
      </c>
      <c r="M14" s="135">
        <f>'Stage 5'!M14</f>
        <v>1071</v>
      </c>
      <c r="N14" s="71">
        <f>'Stage 6'!N14</f>
        <v>0</v>
      </c>
      <c r="O14" s="135">
        <f>'Stage 6'!O14</f>
        <v>1071</v>
      </c>
      <c r="P14" s="71">
        <f>'Stage 7'!P14</f>
        <v>0</v>
      </c>
      <c r="Q14" s="135">
        <f>'Stage 7'!Q14</f>
        <v>1071</v>
      </c>
      <c r="R14" s="71">
        <f>'Stage 8'!R14</f>
        <v>0</v>
      </c>
      <c r="S14" s="135">
        <f>'Stage 8'!S14</f>
        <v>1071</v>
      </c>
      <c r="T14" s="71">
        <f>'Stage 9'!T14</f>
        <v>0</v>
      </c>
      <c r="U14" s="135">
        <f>'Stage 9'!U14</f>
        <v>1071</v>
      </c>
      <c r="V14" s="71">
        <f>'Stage 10'!V14</f>
        <v>0</v>
      </c>
      <c r="W14" s="135">
        <f>'Stage 10'!W14</f>
        <v>0</v>
      </c>
      <c r="Z14" s="92" t="str">
        <f>'Verification of Boxes'!J10</f>
        <v>EWING</v>
      </c>
      <c r="AA14" s="93">
        <f>K57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/>
      <c r="BE14" s="61" t="str">
        <f>'Verification of Boxes'!J19</f>
        <v>PORTER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12'!B61</f>
        <v>2</v>
      </c>
      <c r="C15" s="31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>'Stage 3'!H15</f>
        <v>0</v>
      </c>
      <c r="I15" s="135">
        <f>'Stage 3'!I15</f>
        <v>1111</v>
      </c>
      <c r="J15" s="71">
        <f>'Stage 4'!J15</f>
        <v>-40</v>
      </c>
      <c r="K15" s="135">
        <f>'Stage 4'!K15</f>
        <v>1071</v>
      </c>
      <c r="L15" s="71">
        <f>'Stage 5'!L15</f>
        <v>0</v>
      </c>
      <c r="M15" s="135">
        <f>'Stage 5'!M15</f>
        <v>1071</v>
      </c>
      <c r="N15" s="71">
        <f>'Stage 6'!N15</f>
        <v>0</v>
      </c>
      <c r="O15" s="135">
        <f>'Stage 6'!O15</f>
        <v>1071</v>
      </c>
      <c r="P15" s="71">
        <f>'Stage 7'!P15</f>
        <v>0</v>
      </c>
      <c r="Q15" s="135">
        <f>'Stage 7'!Q15</f>
        <v>1071</v>
      </c>
      <c r="R15" s="71">
        <f>'Stage 8'!R15</f>
        <v>0</v>
      </c>
      <c r="S15" s="135">
        <f>'Stage 8'!S15</f>
        <v>1071</v>
      </c>
      <c r="T15" s="71">
        <f>'Stage 9'!T15</f>
        <v>0</v>
      </c>
      <c r="U15" s="135">
        <f>'Stage 9'!U15</f>
        <v>1071</v>
      </c>
      <c r="V15" s="71">
        <f>'Stage 10'!V15</f>
        <v>0</v>
      </c>
      <c r="W15" s="135">
        <f>'Stage 10'!W15</f>
        <v>0</v>
      </c>
      <c r="Z15" s="95" t="str">
        <f>'Verification of Boxes'!J11</f>
        <v>FLYNN</v>
      </c>
      <c r="AA15" s="37">
        <f t="shared" ref="AA15:AA33" si="16">K58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MITCHELL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Elected</v>
      </c>
      <c r="B16" s="235">
        <f>'Stage 12'!B62</f>
        <v>4</v>
      </c>
      <c r="C16" s="31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>'Stage 3'!H16</f>
        <v>3.06</v>
      </c>
      <c r="I16" s="135">
        <f>'Stage 3'!I16</f>
        <v>677.3</v>
      </c>
      <c r="J16" s="71">
        <f>'Stage 4'!J16</f>
        <v>30.029999999999998</v>
      </c>
      <c r="K16" s="135">
        <f>'Stage 4'!K16</f>
        <v>707.32999999999993</v>
      </c>
      <c r="L16" s="71">
        <f>'Stage 5'!L16</f>
        <v>0.22</v>
      </c>
      <c r="M16" s="135">
        <f>'Stage 5'!M16</f>
        <v>707.55</v>
      </c>
      <c r="N16" s="71">
        <f>'Stage 6'!N16</f>
        <v>241.72</v>
      </c>
      <c r="O16" s="135">
        <f>'Stage 6'!O16</f>
        <v>949.27</v>
      </c>
      <c r="P16" s="71">
        <f>'Stage 7'!P16</f>
        <v>375</v>
      </c>
      <c r="Q16" s="135">
        <f>'Stage 7'!Q16</f>
        <v>1324.27</v>
      </c>
      <c r="R16" s="71">
        <f>'Stage 8'!R16</f>
        <v>-253.26999999999998</v>
      </c>
      <c r="S16" s="135">
        <f>'Stage 8'!S16</f>
        <v>1071</v>
      </c>
      <c r="T16" s="71">
        <f>'Stage 9'!T16</f>
        <v>0</v>
      </c>
      <c r="U16" s="135">
        <f>'Stage 9'!U16</f>
        <v>1071</v>
      </c>
      <c r="V16" s="71">
        <f>'Stage 10'!V16</f>
        <v>0</v>
      </c>
      <c r="W16" s="135">
        <f>'Stage 10'!W16</f>
        <v>0</v>
      </c>
      <c r="Z16" s="95" t="str">
        <f>'Verification of Boxes'!J12</f>
        <v>FRENCH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PALMER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12'!B63</f>
        <v>0</v>
      </c>
      <c r="C17" s="31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>'Stage 3'!H17</f>
        <v>-388.44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GIVAN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 t="str">
        <f>'Verification of Boxes'!J19</f>
        <v>PORTER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12'!B64</f>
        <v>5</v>
      </c>
      <c r="C18" s="31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>'Stage 3'!H18</f>
        <v>91.42</v>
      </c>
      <c r="I18" s="135">
        <f>'Stage 3'!I18</f>
        <v>962.86</v>
      </c>
      <c r="J18" s="71">
        <f>'Stage 4'!J18</f>
        <v>0.72</v>
      </c>
      <c r="K18" s="135">
        <f>'Stage 4'!K18</f>
        <v>963.58</v>
      </c>
      <c r="L18" s="71">
        <f>'Stage 5'!L18</f>
        <v>1.54</v>
      </c>
      <c r="M18" s="135">
        <f>'Stage 5'!M18</f>
        <v>965.12</v>
      </c>
      <c r="N18" s="71">
        <f>'Stage 6'!N18</f>
        <v>6</v>
      </c>
      <c r="O18" s="135">
        <f>'Stage 6'!O18</f>
        <v>971.12</v>
      </c>
      <c r="P18" s="71">
        <f>'Stage 7'!P18</f>
        <v>36.170000000000009</v>
      </c>
      <c r="Q18" s="135">
        <f>'Stage 7'!Q18</f>
        <v>1007.29</v>
      </c>
      <c r="R18" s="71">
        <f>'Stage 8'!R18</f>
        <v>58</v>
      </c>
      <c r="S18" s="135">
        <f>'Stage 8'!S18</f>
        <v>1065.29</v>
      </c>
      <c r="T18" s="71">
        <f>'Stage 9'!T18</f>
        <v>0</v>
      </c>
      <c r="U18" s="135">
        <f>'Stage 9'!U18</f>
        <v>1065.29</v>
      </c>
      <c r="V18" s="71">
        <f>'Stage 10'!V18</f>
        <v>0</v>
      </c>
      <c r="W18" s="135">
        <f>'Stage 10'!W18</f>
        <v>0</v>
      </c>
      <c r="Z18" s="95" t="str">
        <f>'Verification of Boxes'!J14</f>
        <v>GREHAN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12'!B65</f>
        <v>0</v>
      </c>
      <c r="C19" s="31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>'Stage 3'!H19</f>
        <v>64.48</v>
      </c>
      <c r="I19" s="135">
        <f>'Stage 3'!I19</f>
        <v>692.9</v>
      </c>
      <c r="J19" s="71">
        <f>'Stage 4'!J19</f>
        <v>0.69</v>
      </c>
      <c r="K19" s="135">
        <f>'Stage 4'!K19</f>
        <v>693.59</v>
      </c>
      <c r="L19" s="71">
        <f>'Stage 5'!L19</f>
        <v>0.68</v>
      </c>
      <c r="M19" s="135">
        <f>'Stage 5'!M19</f>
        <v>694.27</v>
      </c>
      <c r="N19" s="71">
        <f>'Stage 6'!N19</f>
        <v>12.15</v>
      </c>
      <c r="O19" s="135">
        <f>'Stage 6'!O19</f>
        <v>706.42</v>
      </c>
      <c r="P19" s="71">
        <f>'Stage 7'!P19</f>
        <v>21.06</v>
      </c>
      <c r="Q19" s="135">
        <f>'Stage 7'!Q19</f>
        <v>727.4799999999999</v>
      </c>
      <c r="R19" s="71">
        <f>'Stage 8'!R19</f>
        <v>18</v>
      </c>
      <c r="S19" s="135">
        <f>'Stage 8'!S19</f>
        <v>745.4799999999999</v>
      </c>
      <c r="T19" s="71">
        <f>'Stage 9'!T19</f>
        <v>-745.4799999999999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KENNEDY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12'!B66</f>
        <v>6</v>
      </c>
      <c r="C20" s="31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>'Stage 3'!H20</f>
        <v>204.42</v>
      </c>
      <c r="I20" s="135">
        <f>'Stage 3'!I20</f>
        <v>900.42</v>
      </c>
      <c r="J20" s="71">
        <f>'Stage 4'!J20</f>
        <v>0.39</v>
      </c>
      <c r="K20" s="135">
        <f>'Stage 4'!K20</f>
        <v>900.81</v>
      </c>
      <c r="L20" s="71">
        <f>'Stage 5'!L20</f>
        <v>14.34</v>
      </c>
      <c r="M20" s="135">
        <f>'Stage 5'!M20</f>
        <v>915.15</v>
      </c>
      <c r="N20" s="71">
        <f>'Stage 6'!N20</f>
        <v>6</v>
      </c>
      <c r="O20" s="135">
        <f>'Stage 6'!O20</f>
        <v>921.15</v>
      </c>
      <c r="P20" s="71">
        <f>'Stage 7'!P20</f>
        <v>10.08</v>
      </c>
      <c r="Q20" s="135">
        <f>'Stage 7'!Q20</f>
        <v>931.23</v>
      </c>
      <c r="R20" s="71">
        <f>'Stage 8'!R20</f>
        <v>6</v>
      </c>
      <c r="S20" s="135">
        <f>'Stage 8'!S20</f>
        <v>937.23</v>
      </c>
      <c r="T20" s="71">
        <f>'Stage 9'!T20</f>
        <v>0</v>
      </c>
      <c r="U20" s="135">
        <f>'Stage 9'!U20</f>
        <v>937.23</v>
      </c>
      <c r="V20" s="71">
        <f>'Stage 10'!V20</f>
        <v>0</v>
      </c>
      <c r="W20" s="135">
        <f>'Stage 10'!W20</f>
        <v>0</v>
      </c>
      <c r="Z20" s="95" t="str">
        <f>'Verification of Boxes'!J16</f>
        <v>MCEVOY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39" t="s">
        <v>184</v>
      </c>
      <c r="AK20" s="340"/>
      <c r="AL20" s="142">
        <f>AL46</f>
        <v>1000000</v>
      </c>
      <c r="AM20" s="118"/>
      <c r="AN20" s="142">
        <f>AL20+AG2</f>
        <v>1000000</v>
      </c>
      <c r="AO20" s="334">
        <f>IF(AN20&gt;AG4,0,IF(AN20&lt;AL21,"Exclude lowest candidate",0))</f>
        <v>0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12'!B67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MITCHELL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41" t="s">
        <v>185</v>
      </c>
      <c r="AK21" s="293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12'!B68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PALMER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41" t="s">
        <v>185</v>
      </c>
      <c r="AK22" s="293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12'!B69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 t="str">
        <f>'Verification of Boxes'!J19</f>
        <v>PORTER</v>
      </c>
      <c r="AA23" s="37">
        <f t="shared" si="16"/>
        <v>0</v>
      </c>
      <c r="AB23" s="5"/>
      <c r="AC23" s="100">
        <f t="shared" si="13"/>
        <v>0</v>
      </c>
      <c r="AD23" s="110"/>
      <c r="AE23" s="5" t="str">
        <f t="shared" si="17"/>
        <v>excluded</v>
      </c>
      <c r="AF23" s="5">
        <f t="shared" si="14"/>
        <v>0</v>
      </c>
      <c r="AG23" s="96">
        <f t="shared" si="15"/>
        <v>0</v>
      </c>
      <c r="AJ23" s="341" t="s">
        <v>185</v>
      </c>
      <c r="AK23" s="293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12'!B70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41" t="s">
        <v>185</v>
      </c>
      <c r="AK24" s="293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189</v>
      </c>
      <c r="BA24" s="3" t="s">
        <v>190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12'!B71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55" t="s">
        <v>185</v>
      </c>
      <c r="AK25" s="35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0</v>
      </c>
      <c r="BE25" s="61" t="s">
        <v>193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12'!B72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194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12'!B73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12'!B74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123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12'!B75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30"/>
      <c r="AM29" s="331"/>
      <c r="AN29" s="331"/>
      <c r="AO29" s="331"/>
      <c r="AP29" s="331"/>
      <c r="AQ29" s="332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0</v>
      </c>
      <c r="BR29" s="5" t="s">
        <v>200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12'!B76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300</v>
      </c>
      <c r="BJ30" s="328"/>
      <c r="BK30" s="329"/>
      <c r="BX30" s="333" t="str">
        <f>IF(BW31=BW69,"Calculations OK","Check Count for Error")</f>
        <v>Calculations OK</v>
      </c>
      <c r="BY30" s="333"/>
    </row>
    <row r="31" spans="1:83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1">
        <f>'Stage 3'!H31</f>
        <v>20.059999999999999</v>
      </c>
      <c r="I31" s="135">
        <f>'Stage 3'!I31</f>
        <v>20.079999999999995</v>
      </c>
      <c r="J31" s="71">
        <f>'Stage 4'!J31</f>
        <v>6.7899999999999991</v>
      </c>
      <c r="K31" s="135">
        <f>'Stage 4'!K31</f>
        <v>26.869999999999994</v>
      </c>
      <c r="L31" s="71">
        <f>'Stage 5'!L31</f>
        <v>1.7599999999999092</v>
      </c>
      <c r="M31" s="135">
        <f>'Stage 5'!M31</f>
        <v>28.629999999999903</v>
      </c>
      <c r="N31" s="71">
        <f>'Stage 6'!N31</f>
        <v>35.320000000000007</v>
      </c>
      <c r="O31" s="135">
        <f>'Stage 6'!O31</f>
        <v>63.94999999999991</v>
      </c>
      <c r="P31" s="71">
        <f>'Stage 7'!P31</f>
        <v>228.78</v>
      </c>
      <c r="Q31" s="135">
        <f>'Stage 7'!Q31</f>
        <v>292.7299999999999</v>
      </c>
      <c r="R31" s="71">
        <f>'Stage 8'!R31</f>
        <v>171.26999999999998</v>
      </c>
      <c r="S31" s="135">
        <f>'Stage 8'!S31</f>
        <v>463.99999999999989</v>
      </c>
      <c r="T31" s="71">
        <f>'Stage 9'!T31</f>
        <v>0</v>
      </c>
      <c r="U31" s="135">
        <f>'Stage 9'!U31</f>
        <v>463.99999999999989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203</v>
      </c>
      <c r="BA31" s="3" t="s">
        <v>204</v>
      </c>
      <c r="BB31" s="3"/>
      <c r="BC31" s="50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V31" t="s">
        <v>119</v>
      </c>
      <c r="BW31" s="5">
        <f>BT29+BV29+BX29+BZ29+CB29+CD29</f>
        <v>0</v>
      </c>
      <c r="BX31" s="311"/>
      <c r="BY31" s="311"/>
      <c r="BZ31" s="5">
        <f>BW69-BW31</f>
        <v>0</v>
      </c>
      <c r="CB31" s="327" t="s">
        <v>300</v>
      </c>
      <c r="CC31" s="328"/>
      <c r="CD31" s="328"/>
      <c r="CE31" s="32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1"/>
      <c r="I32" s="135">
        <f>'Stage 3'!I32</f>
        <v>7496</v>
      </c>
      <c r="J32" s="192"/>
      <c r="K32" s="135">
        <f>'Stage 4'!K32</f>
        <v>7495.9999999999991</v>
      </c>
      <c r="L32" s="192"/>
      <c r="M32" s="135">
        <f>'Stage 5'!M32</f>
        <v>7495.9999999999991</v>
      </c>
      <c r="N32" s="192"/>
      <c r="O32" s="135">
        <f>'Stage 6'!O32</f>
        <v>7496</v>
      </c>
      <c r="P32" s="192"/>
      <c r="Q32" s="135">
        <f>'Stage 7'!Q32</f>
        <v>7496</v>
      </c>
      <c r="R32" s="192"/>
      <c r="S32" s="135">
        <f>'Stage 8'!S32</f>
        <v>7496</v>
      </c>
      <c r="T32" s="192"/>
      <c r="U32" s="135">
        <f>'Stage 9'!U32</f>
        <v>6750.52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30"/>
      <c r="AM32" s="331"/>
      <c r="AN32" s="331"/>
      <c r="AO32" s="331"/>
      <c r="AP32" s="331"/>
      <c r="AQ32" s="332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11"/>
      <c r="BG32" s="311"/>
      <c r="BX32" s="311"/>
      <c r="BY32" s="311"/>
      <c r="CB32" s="330"/>
      <c r="CC32" s="331"/>
      <c r="CD32" s="331"/>
      <c r="CE32" s="332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5">
        <f>'Stage 3'!I34</f>
        <v>0</v>
      </c>
      <c r="J34" s="219"/>
      <c r="K34" s="185">
        <f>'Stage 4'!K34</f>
        <v>0</v>
      </c>
      <c r="L34" s="219"/>
      <c r="M34" s="185">
        <f>'Stage 5'!M34</f>
        <v>0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0.77361111111111114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EWING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FLYNN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1:75" x14ac:dyDescent="0.25">
      <c r="Z46" s="253" t="str">
        <v>FRENCH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212</v>
      </c>
    </row>
    <row r="47" spans="1:75" ht="18.5" thickBot="1" x14ac:dyDescent="0.45">
      <c r="A47" s="76" t="str">
        <f>'Verification of Boxes'!B1</f>
        <v>Local Council Elections 2023</v>
      </c>
      <c r="F47" s="10" t="s">
        <v>281</v>
      </c>
      <c r="J47" s="85" t="s">
        <v>37</v>
      </c>
      <c r="K47" s="319">
        <f>'Basic Input'!C2</f>
        <v>45064</v>
      </c>
      <c r="L47" s="319"/>
      <c r="Z47" s="253" t="str">
        <v>GIVAN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Lisburn South</v>
      </c>
      <c r="O48" s="345" t="s">
        <v>296</v>
      </c>
      <c r="P48" s="346"/>
      <c r="Q48" s="346"/>
      <c r="R48" s="346"/>
      <c r="S48" s="347"/>
      <c r="Z48" s="253" t="str">
        <v>GREHAN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EWING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W48" t="s">
        <v>218</v>
      </c>
    </row>
    <row r="49" spans="1:75" ht="23.25" customHeight="1" thickBot="1" x14ac:dyDescent="0.35">
      <c r="C49" s="3" t="s">
        <v>96</v>
      </c>
      <c r="D49" s="68">
        <f>'Verification of Boxes'!L2</f>
        <v>16838</v>
      </c>
      <c r="E49" s="306" t="s">
        <v>62</v>
      </c>
      <c r="F49" s="307"/>
      <c r="G49" s="131">
        <f>'Verification of Boxes'!G3</f>
        <v>6</v>
      </c>
      <c r="H49" s="306" t="s">
        <v>97</v>
      </c>
      <c r="I49" s="307"/>
      <c r="J49" s="131">
        <f>'Verification of Boxes'!L33</f>
        <v>99</v>
      </c>
      <c r="K49" s="306" t="s">
        <v>98</v>
      </c>
      <c r="L49" s="307"/>
      <c r="M49" s="131">
        <f>'Verification of Boxes'!G4</f>
        <v>1071</v>
      </c>
      <c r="O49" s="376" t="s">
        <v>279</v>
      </c>
      <c r="P49" s="377"/>
      <c r="Q49" s="377"/>
      <c r="R49" s="377"/>
      <c r="S49" s="378"/>
      <c r="Z49" s="253" t="str">
        <v>KENNEDY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FLYNN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EWING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 t="shared" ref="BN49:BN68" si="40">IF(BP8="y",-BO8,0)</f>
        <v>0</v>
      </c>
      <c r="BW49" s="5">
        <f t="shared" ref="BW49:BW68" si="41">IF(BP8="y",BO8,0)</f>
        <v>0</v>
      </c>
    </row>
    <row r="50" spans="1:75" ht="34.5" customHeight="1" thickBot="1" x14ac:dyDescent="0.45">
      <c r="A50" s="10"/>
      <c r="C50" s="3" t="s">
        <v>99</v>
      </c>
      <c r="D50" s="131">
        <f>'Verification of Boxes'!L3</f>
        <v>7595</v>
      </c>
      <c r="E50" s="161" t="s">
        <v>100</v>
      </c>
      <c r="F50" s="160"/>
      <c r="G50" s="67">
        <f>D50-J49</f>
        <v>7496</v>
      </c>
      <c r="H50" s="161" t="s">
        <v>101</v>
      </c>
      <c r="I50" s="160"/>
      <c r="J50" s="132">
        <f>'Verification of Boxes'!L5</f>
        <v>45.106307162370825</v>
      </c>
      <c r="O50" s="345" t="s">
        <v>298</v>
      </c>
      <c r="P50" s="346"/>
      <c r="Q50" s="346"/>
      <c r="R50" s="346"/>
      <c r="S50" s="347"/>
      <c r="U50" s="311" t="str">
        <f>IF(M79="ERROR","DO NOT MOVE TO NEXT STAGE","OK TO MOVE TO NEXT STAGE")</f>
        <v>DO NOT MOVE TO NEXT STAGE</v>
      </c>
      <c r="V50" s="311"/>
      <c r="W50" s="311"/>
      <c r="Z50" s="253" t="str">
        <v>MCEVOY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FRENCH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FLYNN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si="40"/>
        <v>0</v>
      </c>
      <c r="BW50" s="5">
        <f t="shared" si="41"/>
        <v>0</v>
      </c>
    </row>
    <row r="51" spans="1:75" ht="12.75" customHeight="1" thickBot="1" x14ac:dyDescent="0.3">
      <c r="Z51" s="253" t="str">
        <v>MITCHELL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GIVAN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FRENCH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94</v>
      </c>
      <c r="F52" s="288" t="s">
        <v>111</v>
      </c>
      <c r="G52" s="290"/>
      <c r="H52" s="288" t="s">
        <v>272</v>
      </c>
      <c r="I52" s="290"/>
      <c r="J52" s="288" t="s">
        <v>280</v>
      </c>
      <c r="K52" s="290"/>
      <c r="L52" s="288" t="s">
        <v>281</v>
      </c>
      <c r="M52" s="290"/>
      <c r="N52" s="288" t="s">
        <v>282</v>
      </c>
      <c r="O52" s="290"/>
      <c r="P52" s="288" t="s">
        <v>283</v>
      </c>
      <c r="Q52" s="290"/>
      <c r="R52" s="288" t="s">
        <v>284</v>
      </c>
      <c r="S52" s="290"/>
      <c r="T52" s="288" t="s">
        <v>285</v>
      </c>
      <c r="U52" s="290"/>
      <c r="V52" s="288" t="s">
        <v>286</v>
      </c>
      <c r="W52" s="290"/>
      <c r="Z52" s="253" t="str">
        <v>PALMER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GREHAN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GIVAN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IF($AT5=0,0,IF($AT5="T",$AZ7,$BR4))</f>
        <v>0</v>
      </c>
      <c r="M53" s="362"/>
      <c r="N53" s="361"/>
      <c r="O53" s="362"/>
      <c r="P53" s="361"/>
      <c r="Q53" s="362"/>
      <c r="R53" s="361"/>
      <c r="S53" s="362"/>
      <c r="T53" s="361"/>
      <c r="U53" s="362"/>
      <c r="V53" s="361"/>
      <c r="W53" s="362"/>
      <c r="Z53" s="253" t="str">
        <v>PORTER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KENNEDY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GREHAN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59">
        <f>IF($L53="Transfer",$BA8,$BT3)</f>
        <v>0</v>
      </c>
      <c r="M54" s="360"/>
      <c r="N54" s="359"/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MCEVOY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KENNEDY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8" t="s">
        <v>112</v>
      </c>
      <c r="G55" s="290"/>
      <c r="H55" s="288" t="s">
        <v>112</v>
      </c>
      <c r="I55" s="290"/>
      <c r="J55" s="288" t="s">
        <v>112</v>
      </c>
      <c r="K55" s="290"/>
      <c r="L55" s="288" t="s">
        <v>112</v>
      </c>
      <c r="M55" s="290"/>
      <c r="N55" s="288" t="s">
        <v>112</v>
      </c>
      <c r="O55" s="290"/>
      <c r="P55" s="288" t="s">
        <v>112</v>
      </c>
      <c r="Q55" s="290"/>
      <c r="R55" s="288" t="s">
        <v>112</v>
      </c>
      <c r="S55" s="290"/>
      <c r="T55" s="288" t="s">
        <v>112</v>
      </c>
      <c r="U55" s="290"/>
      <c r="V55" s="288" t="s">
        <v>112</v>
      </c>
      <c r="W55" s="290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MITCHELL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MCEVOY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113</v>
      </c>
      <c r="B56" s="18" t="s">
        <v>114</v>
      </c>
      <c r="C56" s="16" t="s">
        <v>115</v>
      </c>
      <c r="D56" s="32" t="s">
        <v>116</v>
      </c>
      <c r="E56" s="1" t="s">
        <v>117</v>
      </c>
      <c r="F56" s="115"/>
      <c r="G56" s="116" t="s">
        <v>83</v>
      </c>
      <c r="H56" s="136"/>
      <c r="I56" s="137" t="s">
        <v>83</v>
      </c>
      <c r="J56" s="134"/>
      <c r="K56" s="137" t="s">
        <v>83</v>
      </c>
      <c r="L56" s="134"/>
      <c r="M56" s="137" t="s">
        <v>83</v>
      </c>
      <c r="N56" s="136"/>
      <c r="O56" s="137" t="s">
        <v>83</v>
      </c>
      <c r="P56" s="136"/>
      <c r="Q56" s="137" t="s">
        <v>83</v>
      </c>
      <c r="R56" s="136"/>
      <c r="S56" s="137" t="s">
        <v>83</v>
      </c>
      <c r="T56" s="136"/>
      <c r="U56" s="137" t="s">
        <v>83</v>
      </c>
      <c r="V56" s="136"/>
      <c r="W56" s="137" t="s">
        <v>83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PALMER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MITCHELL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12'!A57&lt;&gt;0,'Stage 12'!A57,IF(M57&gt;=$M$3,"Elected",IF(BP8&lt;&gt;0,"Excluded",0)))</f>
        <v>Elected</v>
      </c>
      <c r="B57" s="235">
        <f>'Stage 12'!B57</f>
        <v>1</v>
      </c>
      <c r="C57" s="29" t="str">
        <f>'Verification of Boxes'!J10</f>
        <v>EWING</v>
      </c>
      <c r="D57" s="152" t="str">
        <f>'Verification of Boxes'!K10</f>
        <v>D.U.P.</v>
      </c>
      <c r="E57" s="108">
        <f>'Verification of Boxes'!L10</f>
        <v>1139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159">
        <f t="shared" ref="L57:L76" si="42">IF($C57&lt;&gt;0,$BK49,0)</f>
        <v>0</v>
      </c>
      <c r="M57" s="39">
        <f t="shared" ref="M57:M76" si="43">IF(L$54=0,0,K57+L57)</f>
        <v>0</v>
      </c>
      <c r="N57" s="157"/>
      <c r="O57" s="37"/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PORTER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PALMER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12'!A58&lt;&gt;0,'Stage 12'!A58,IF(M58&gt;=$M$3,"Elected",IF(BP9&lt;&gt;0,"Excluded",0)))</f>
        <v>Excluded</v>
      </c>
      <c r="B58" s="235">
        <f>'Stage 12'!B58</f>
        <v>0</v>
      </c>
      <c r="C58" s="20" t="str">
        <f>'Verification of Boxes'!J11</f>
        <v>FLYNN</v>
      </c>
      <c r="D58" s="153" t="str">
        <f>'Verification of Boxes'!K11</f>
        <v>Sinn Féin</v>
      </c>
      <c r="E58" s="109">
        <f>'Verification of Boxes'!L11</f>
        <v>493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159">
        <f t="shared" si="42"/>
        <v>0</v>
      </c>
      <c r="M58" s="39">
        <f t="shared" si="43"/>
        <v>0</v>
      </c>
      <c r="N58" s="157"/>
      <c r="O58" s="37"/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PORTER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12'!A59&lt;&gt;0,'Stage 12'!A59,IF(M59&gt;=$M$3,"Elected",IF(BP10&lt;&gt;0,"Excluded",0)))</f>
        <v>Excluded</v>
      </c>
      <c r="B59" s="235">
        <f>'Stage 12'!B59</f>
        <v>0</v>
      </c>
      <c r="C59" s="20" t="str">
        <f>'Verification of Boxes'!J12</f>
        <v>FRENCH</v>
      </c>
      <c r="D59" s="153" t="str">
        <f>'Verification of Boxes'!K12</f>
        <v xml:space="preserve">SDLP </v>
      </c>
      <c r="E59" s="109">
        <f>'Verification of Boxes'!L12</f>
        <v>472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159">
        <f t="shared" si="42"/>
        <v>0</v>
      </c>
      <c r="M59" s="39">
        <f t="shared" si="43"/>
        <v>0</v>
      </c>
      <c r="N59" s="157"/>
      <c r="O59" s="37"/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12'!A60&lt;&gt;0,'Stage 12'!A60,IF(M60&gt;=$M$3,"Elected",IF(BP11&lt;&gt;0,"Excluded",0)))</f>
        <v>Elected</v>
      </c>
      <c r="B60" s="235">
        <f>'Stage 12'!B60</f>
        <v>3</v>
      </c>
      <c r="C60" s="20" t="str">
        <f>'Verification of Boxes'!J13</f>
        <v>GIVAN</v>
      </c>
      <c r="D60" s="153" t="str">
        <f>'Verification of Boxes'!K13</f>
        <v>D.U.P.</v>
      </c>
      <c r="E60" s="109">
        <f>'Verification of Boxes'!L13</f>
        <v>1038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159">
        <f t="shared" si="42"/>
        <v>0</v>
      </c>
      <c r="M60" s="39">
        <f t="shared" si="43"/>
        <v>0</v>
      </c>
      <c r="N60" s="157"/>
      <c r="O60" s="37"/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12'!A61&lt;&gt;0,'Stage 12'!A61,IF(M61&gt;=$M$3,"Elected",IF(BP12&lt;&gt;0,"Excluded",0)))</f>
        <v>Elected</v>
      </c>
      <c r="B61" s="235">
        <f>'Stage 12'!B61</f>
        <v>2</v>
      </c>
      <c r="C61" s="20" t="str">
        <f>'Verification of Boxes'!J14</f>
        <v>GREHAN</v>
      </c>
      <c r="D61" s="153" t="str">
        <f>'Verification of Boxes'!K14</f>
        <v>Alliance Party</v>
      </c>
      <c r="E61" s="109">
        <f>'Verification of Boxes'!L14</f>
        <v>1111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159">
        <f t="shared" si="42"/>
        <v>0</v>
      </c>
      <c r="M61" s="39">
        <f t="shared" si="43"/>
        <v>0</v>
      </c>
      <c r="N61" s="157"/>
      <c r="O61" s="37"/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12'!A62&lt;&gt;0,'Stage 12'!A62,IF(M62&gt;=$M$3,"Elected",IF(BP13&lt;&gt;0,"Excluded",0)))</f>
        <v>Elected</v>
      </c>
      <c r="B62" s="235">
        <f>'Stage 12'!B62</f>
        <v>4</v>
      </c>
      <c r="C62" s="20" t="str">
        <f>'Verification of Boxes'!J15</f>
        <v>KENNEDY</v>
      </c>
      <c r="D62" s="153" t="str">
        <f>'Verification of Boxes'!K15</f>
        <v>Alliance Party</v>
      </c>
      <c r="E62" s="109">
        <f>'Verification of Boxes'!L15</f>
        <v>674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159">
        <f t="shared" si="42"/>
        <v>0</v>
      </c>
      <c r="M62" s="39">
        <f t="shared" si="43"/>
        <v>0</v>
      </c>
      <c r="N62" s="157"/>
      <c r="O62" s="37"/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12'!A63&lt;&gt;0,'Stage 12'!A63,IF(M63&gt;=$M$3,"Elected",IF(BP14&lt;&gt;0,"Excluded",0)))</f>
        <v>Excluded</v>
      </c>
      <c r="B63" s="235">
        <f>'Stage 12'!B63</f>
        <v>0</v>
      </c>
      <c r="C63" s="20" t="str">
        <f>'Verification of Boxes'!J16</f>
        <v>MCEVOY</v>
      </c>
      <c r="D63" s="153" t="str">
        <f>'Verification of Boxes'!K16</f>
        <v xml:space="preserve">TUV </v>
      </c>
      <c r="E63" s="109">
        <f>'Verification of Boxes'!L16</f>
        <v>387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159">
        <f t="shared" si="42"/>
        <v>0</v>
      </c>
      <c r="M63" s="39">
        <f t="shared" si="43"/>
        <v>0</v>
      </c>
      <c r="N63" s="157"/>
      <c r="O63" s="37"/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>
        <f>IF('Stage 12'!A64&lt;&gt;0,'Stage 12'!A64,IF(M64&gt;=$M$3,"Elected",IF(BP15&lt;&gt;0,"Excluded",0)))</f>
        <v>0</v>
      </c>
      <c r="B64" s="235">
        <f>'Stage 12'!B64</f>
        <v>5</v>
      </c>
      <c r="C64" s="20" t="str">
        <f>'Verification of Boxes'!J17</f>
        <v>MITCHELL</v>
      </c>
      <c r="D64" s="153" t="str">
        <f>'Verification of Boxes'!K17</f>
        <v>UUP</v>
      </c>
      <c r="E64" s="109">
        <f>'Verification of Boxes'!L17</f>
        <v>870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159">
        <f t="shared" si="42"/>
        <v>0</v>
      </c>
      <c r="M64" s="39">
        <f t="shared" si="43"/>
        <v>0</v>
      </c>
      <c r="N64" s="157"/>
      <c r="O64" s="37"/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12'!A65&lt;&gt;0,'Stage 12'!A65,IF(M65&gt;=$M$3,"Elected",IF(BP16&lt;&gt;0,"Excluded",0)))</f>
        <v>Excluded</v>
      </c>
      <c r="B65" s="235">
        <f>'Stage 12'!B65</f>
        <v>0</v>
      </c>
      <c r="C65" s="20" t="str">
        <f>'Verification of Boxes'!J18</f>
        <v>PALMER</v>
      </c>
      <c r="D65" s="153" t="str">
        <f>'Verification of Boxes'!K18</f>
        <v>UUP</v>
      </c>
      <c r="E65" s="109">
        <f>'Verification of Boxes'!L18</f>
        <v>625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159">
        <f t="shared" si="42"/>
        <v>0</v>
      </c>
      <c r="M65" s="39">
        <f t="shared" si="43"/>
        <v>0</v>
      </c>
      <c r="N65" s="157"/>
      <c r="O65" s="37"/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12'!A66&lt;&gt;0,'Stage 12'!A66,IF(M66&gt;=$M$3,"Elected",IF(BP17&lt;&gt;0,"Excluded",0)))</f>
        <v>0</v>
      </c>
      <c r="B66" s="235">
        <f>'Stage 12'!B66</f>
        <v>6</v>
      </c>
      <c r="C66" s="20" t="str">
        <f>'Verification of Boxes'!J19</f>
        <v>PORTER</v>
      </c>
      <c r="D66" s="153" t="str">
        <f>'Verification of Boxes'!K19</f>
        <v>D.U.P.</v>
      </c>
      <c r="E66" s="109">
        <f>'Verification of Boxes'!L19</f>
        <v>687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159">
        <f t="shared" si="42"/>
        <v>0</v>
      </c>
      <c r="M66" s="39">
        <f t="shared" si="43"/>
        <v>0</v>
      </c>
      <c r="N66" s="157"/>
      <c r="O66" s="37"/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12'!A67&lt;&gt;0,'Stage 12'!A67,IF(M67&gt;=$M$3,"Elected",IF(BP18&lt;&gt;0,"Excluded",0)))</f>
        <v>0</v>
      </c>
      <c r="B67" s="235">
        <f>'Stage 12'!B67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159">
        <f t="shared" si="42"/>
        <v>0</v>
      </c>
      <c r="M67" s="39">
        <f t="shared" si="43"/>
        <v>0</v>
      </c>
      <c r="N67" s="157"/>
      <c r="O67" s="37"/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12'!A68&lt;&gt;0,'Stage 12'!A68,IF(M68&gt;=$M$3,"Elected",IF(BP19&lt;&gt;0,"Excluded",0)))</f>
        <v>0</v>
      </c>
      <c r="B68" s="235">
        <f>'Stage 12'!B68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159">
        <f t="shared" si="42"/>
        <v>0</v>
      </c>
      <c r="M68" s="39">
        <f t="shared" si="43"/>
        <v>0</v>
      </c>
      <c r="N68" s="157"/>
      <c r="O68" s="37"/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12'!A69&lt;&gt;0,'Stage 12'!A69,IF(M69&gt;=$M$3,"Elected",IF(BP20&lt;&gt;0,"Excluded",0)))</f>
        <v>0</v>
      </c>
      <c r="B69" s="235">
        <f>'Stage 12'!B69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159">
        <f t="shared" si="42"/>
        <v>0</v>
      </c>
      <c r="M69" s="39">
        <f t="shared" si="43"/>
        <v>0</v>
      </c>
      <c r="N69" s="157"/>
      <c r="O69" s="37"/>
      <c r="P69" s="157"/>
      <c r="Q69" s="37"/>
      <c r="R69" s="157"/>
      <c r="S69" s="37"/>
      <c r="T69" s="157"/>
      <c r="U69" s="37"/>
      <c r="V69" s="157"/>
      <c r="W69" s="37"/>
      <c r="BG69" t="s">
        <v>219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12'!A70&lt;&gt;0,'Stage 12'!A70,IF(M70&gt;=$M$3,"Elected",IF(BP21&lt;&gt;0,"Excluded",0)))</f>
        <v>0</v>
      </c>
      <c r="B70" s="235">
        <f>'Stage 12'!B70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159">
        <f t="shared" si="42"/>
        <v>0</v>
      </c>
      <c r="M70" s="39">
        <f t="shared" si="43"/>
        <v>0</v>
      </c>
      <c r="N70" s="157"/>
      <c r="O70" s="37"/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12'!A71&lt;&gt;0,'Stage 12'!A71,IF(M71&gt;=$M$3,"Elected",IF(BP22&lt;&gt;0,"Excluded",0)))</f>
        <v>0</v>
      </c>
      <c r="B71" s="235">
        <f>'Stage 12'!B71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159">
        <f t="shared" si="42"/>
        <v>0</v>
      </c>
      <c r="M71" s="39">
        <f t="shared" si="43"/>
        <v>0</v>
      </c>
      <c r="N71" s="157"/>
      <c r="O71" s="37"/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12'!A72&lt;&gt;0,'Stage 12'!A72,IF(M72&gt;=$M$3,"Elected",IF(BP23&lt;&gt;0,"Excluded",0)))</f>
        <v>0</v>
      </c>
      <c r="B72" s="235">
        <f>'Stage 12'!B72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159">
        <f t="shared" si="42"/>
        <v>0</v>
      </c>
      <c r="M72" s="39">
        <f t="shared" si="43"/>
        <v>0</v>
      </c>
      <c r="N72" s="157"/>
      <c r="O72" s="37"/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12'!A73&lt;&gt;0,'Stage 12'!A73,IF(M73&gt;=$M$3,"Elected",IF(BP24&lt;&gt;0,"Excluded",0)))</f>
        <v>0</v>
      </c>
      <c r="B73" s="235">
        <f>'Stage 12'!B73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159">
        <f t="shared" si="42"/>
        <v>0</v>
      </c>
      <c r="M73" s="39">
        <f t="shared" si="43"/>
        <v>0</v>
      </c>
      <c r="N73" s="157"/>
      <c r="O73" s="37"/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12'!A74&lt;&gt;0,'Stage 12'!A74,IF(M74&gt;=$M$3,"Elected",IF(BP25&lt;&gt;0,"Excluded",0)))</f>
        <v>0</v>
      </c>
      <c r="B74" s="235">
        <f>'Stage 12'!B74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159">
        <f t="shared" si="42"/>
        <v>0</v>
      </c>
      <c r="M74" s="39">
        <f t="shared" si="43"/>
        <v>0</v>
      </c>
      <c r="N74" s="157"/>
      <c r="O74" s="37"/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12'!A75&lt;&gt;0,'Stage 12'!A75,IF(M75&gt;=$M$3,"Elected",IF(BP26&lt;&gt;0,"Excluded",0)))</f>
        <v>0</v>
      </c>
      <c r="B75" s="235">
        <f>'Stage 12'!B75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159">
        <f t="shared" si="42"/>
        <v>0</v>
      </c>
      <c r="M75" s="39">
        <f t="shared" si="43"/>
        <v>0</v>
      </c>
      <c r="N75" s="157"/>
      <c r="O75" s="37"/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12'!A76&lt;&gt;0,'Stage 12'!A76,IF(M76&gt;=$M$3,"Elected",IF(BP27&lt;&gt;0,"Excluded",0)))</f>
        <v>0</v>
      </c>
      <c r="B76" s="235">
        <f>'Stage 12'!B76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159">
        <f t="shared" si="42"/>
        <v>0</v>
      </c>
      <c r="M76" s="39">
        <f t="shared" si="43"/>
        <v>0</v>
      </c>
      <c r="N76" s="157"/>
      <c r="O76" s="37"/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118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$BK69</f>
        <v>0</v>
      </c>
      <c r="M77" s="41">
        <f>IF(L$54=0,0,K77+L77)</f>
        <v>0</v>
      </c>
      <c r="N77" s="157"/>
      <c r="O77" s="37"/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119</v>
      </c>
      <c r="E78" s="45">
        <f>SUM(E57:E76)</f>
        <v>7496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50">
        <f>SUM(M57:M77)</f>
        <v>0</v>
      </c>
      <c r="N78" s="202"/>
      <c r="O78" s="37"/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t="str">
        <f>IF(M78=$G50,"Totals Correct","ERROR")</f>
        <v>ERROR</v>
      </c>
    </row>
    <row r="80" spans="1:75" ht="13" thickBot="1" x14ac:dyDescent="0.3">
      <c r="D80" s="42" t="s">
        <v>120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185">
        <f>'Stage 12'!K80</f>
        <v>0</v>
      </c>
      <c r="L80" s="219"/>
      <c r="M80" s="183"/>
      <c r="N80" s="219"/>
      <c r="O80" s="185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301</v>
      </c>
      <c r="DF210" s="231" t="s">
        <v>221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L57</f>
        <v>0</v>
      </c>
      <c r="DF211" s="233">
        <f>M57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FLYNN</v>
      </c>
      <c r="DC212" s="232" t="str">
        <f t="shared" si="49"/>
        <v>Sinn Féin</v>
      </c>
      <c r="DD212" s="233">
        <f t="shared" si="49"/>
        <v>493</v>
      </c>
      <c r="DE212" s="233">
        <f t="shared" ref="DE212:DF212" si="50">L58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FRENCH</v>
      </c>
      <c r="DC213" s="232" t="str">
        <f t="shared" si="49"/>
        <v xml:space="preserve">SDLP </v>
      </c>
      <c r="DD213" s="233">
        <f t="shared" si="49"/>
        <v>472</v>
      </c>
      <c r="DE213" s="233">
        <f t="shared" ref="DE213:DF213" si="51">L59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GIVAN</v>
      </c>
      <c r="DC214" s="232" t="str">
        <f t="shared" si="49"/>
        <v>D.U.P.</v>
      </c>
      <c r="DD214" s="233">
        <f t="shared" si="49"/>
        <v>1038</v>
      </c>
      <c r="DE214" s="233">
        <f t="shared" ref="DE214:DF214" si="52">L60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E2</v>
      </c>
      <c r="DB215" s="232" t="str">
        <f t="shared" si="49"/>
        <v>GREHAN</v>
      </c>
      <c r="DC215" s="232" t="str">
        <f t="shared" si="49"/>
        <v>Alliance Party</v>
      </c>
      <c r="DD215" s="233">
        <f t="shared" si="49"/>
        <v>1111</v>
      </c>
      <c r="DE215" s="233">
        <f t="shared" ref="DE215:DF215" si="53">L61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E4</v>
      </c>
      <c r="DB216" s="232" t="str">
        <f t="shared" si="49"/>
        <v>KENNEDY</v>
      </c>
      <c r="DC216" s="232" t="str">
        <f t="shared" si="49"/>
        <v>Alliance Party</v>
      </c>
      <c r="DD216" s="233">
        <f t="shared" si="49"/>
        <v>674</v>
      </c>
      <c r="DE216" s="233">
        <f t="shared" ref="DE216:DF216" si="54">L62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MCEVOY</v>
      </c>
      <c r="DC217" s="232" t="str">
        <f t="shared" si="49"/>
        <v xml:space="preserve">TUV </v>
      </c>
      <c r="DD217" s="233">
        <f t="shared" si="49"/>
        <v>387</v>
      </c>
      <c r="DE217" s="233">
        <f t="shared" ref="DE217:DF217" si="55">L63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5</v>
      </c>
      <c r="DB218" s="232" t="str">
        <f t="shared" si="49"/>
        <v>MITCHELL</v>
      </c>
      <c r="DC218" s="232" t="str">
        <f t="shared" si="49"/>
        <v>UUP</v>
      </c>
      <c r="DD218" s="233">
        <f t="shared" si="49"/>
        <v>870</v>
      </c>
      <c r="DE218" s="233">
        <f t="shared" ref="DE218:DF218" si="56">L64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PALMER</v>
      </c>
      <c r="DC219" s="232" t="str">
        <f t="shared" si="49"/>
        <v>UUP</v>
      </c>
      <c r="DD219" s="233">
        <f t="shared" si="49"/>
        <v>625</v>
      </c>
      <c r="DE219" s="233">
        <f t="shared" ref="DE219:DF219" si="57">L65</f>
        <v>0</v>
      </c>
      <c r="DF219" s="233">
        <f t="shared" si="57"/>
        <v>0</v>
      </c>
    </row>
    <row r="220" spans="105:110" ht="15.5" x14ac:dyDescent="0.35">
      <c r="DA220" s="232" t="str">
        <f t="shared" si="48"/>
        <v>6</v>
      </c>
      <c r="DB220" s="232" t="str">
        <f t="shared" si="49"/>
        <v>PORTER</v>
      </c>
      <c r="DC220" s="232" t="str">
        <f t="shared" si="49"/>
        <v>D.U.P.</v>
      </c>
      <c r="DD220" s="233">
        <f t="shared" si="49"/>
        <v>687</v>
      </c>
      <c r="DE220" s="233">
        <f t="shared" ref="DE220:DF220" si="58">L66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L67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L68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L69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L70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L71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L72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L73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L74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L75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L76</f>
        <v>0</v>
      </c>
      <c r="DF230" s="233">
        <f t="shared" si="69"/>
        <v>0</v>
      </c>
    </row>
    <row r="231" spans="105:110" ht="15.5" x14ac:dyDescent="0.35">
      <c r="DC231" s="234" t="s">
        <v>123</v>
      </c>
      <c r="DD231" s="234"/>
      <c r="DE231" s="233">
        <f t="shared" ref="DE231:DF231" si="70">L77</f>
        <v>0</v>
      </c>
      <c r="DF231" s="233">
        <f t="shared" si="70"/>
        <v>0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 t="shared" ref="DF232" si="71">M78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M80" name="Range20"/>
    <protectedRange sqref="AQ5" name="Range3_1"/>
  </protectedRanges>
  <mergeCells count="128">
    <mergeCell ref="BX30:BY32"/>
    <mergeCell ref="CB31:CE32"/>
    <mergeCell ref="BF30:BG32"/>
    <mergeCell ref="BI30:BK31"/>
    <mergeCell ref="U4:W4"/>
    <mergeCell ref="AL3:AQ3"/>
    <mergeCell ref="Z6:AF7"/>
    <mergeCell ref="AL28:AQ29"/>
    <mergeCell ref="AL31:AQ32"/>
    <mergeCell ref="AJ25:AK25"/>
    <mergeCell ref="AQ13:AQ17"/>
    <mergeCell ref="Z3:AF3"/>
    <mergeCell ref="Z4:AF4"/>
    <mergeCell ref="AK6:AP7"/>
    <mergeCell ref="L8:M8"/>
    <mergeCell ref="AJ24:AK24"/>
    <mergeCell ref="AO23:AP23"/>
    <mergeCell ref="AO24:AP24"/>
    <mergeCell ref="AO25:AP25"/>
    <mergeCell ref="N9:O9"/>
    <mergeCell ref="P9:Q9"/>
    <mergeCell ref="R9:S9"/>
    <mergeCell ref="T9:U9"/>
    <mergeCell ref="AJ20:AK20"/>
    <mergeCell ref="AO20:AP20"/>
    <mergeCell ref="AP13:AP17"/>
    <mergeCell ref="AK9:AP10"/>
    <mergeCell ref="AL13:AL17"/>
    <mergeCell ref="AN13:AN19"/>
    <mergeCell ref="AM13:AM17"/>
    <mergeCell ref="AO13:AO17"/>
    <mergeCell ref="AJ21:AK21"/>
    <mergeCell ref="AO21:AP21"/>
    <mergeCell ref="AO22:AP22"/>
    <mergeCell ref="L9:M9"/>
    <mergeCell ref="CB2:CE2"/>
    <mergeCell ref="BI3:BK3"/>
    <mergeCell ref="BI2:BK2"/>
    <mergeCell ref="BT3:BZ3"/>
    <mergeCell ref="BP5:BP7"/>
    <mergeCell ref="AQ6:AR7"/>
    <mergeCell ref="AQ9:AR10"/>
    <mergeCell ref="L7:M7"/>
    <mergeCell ref="N6:O6"/>
    <mergeCell ref="N7:O7"/>
    <mergeCell ref="N8:O8"/>
    <mergeCell ref="R8:S8"/>
    <mergeCell ref="R7:S7"/>
    <mergeCell ref="R6:S6"/>
    <mergeCell ref="T6:U6"/>
    <mergeCell ref="T7:U7"/>
    <mergeCell ref="L6:M6"/>
    <mergeCell ref="P8:Q8"/>
    <mergeCell ref="P7:Q7"/>
    <mergeCell ref="P6:Q6"/>
    <mergeCell ref="T8:U8"/>
    <mergeCell ref="V6:W6"/>
    <mergeCell ref="V7:W7"/>
    <mergeCell ref="V8:W8"/>
    <mergeCell ref="E4:F4"/>
    <mergeCell ref="K1:L1"/>
    <mergeCell ref="H3:I3"/>
    <mergeCell ref="O4:S4"/>
    <mergeCell ref="O3:S3"/>
    <mergeCell ref="H4:I4"/>
    <mergeCell ref="E3:F3"/>
    <mergeCell ref="O2:S2"/>
    <mergeCell ref="F6:G6"/>
    <mergeCell ref="H6:I6"/>
    <mergeCell ref="F7:G7"/>
    <mergeCell ref="H7:I7"/>
    <mergeCell ref="F8:G8"/>
    <mergeCell ref="H8:I8"/>
    <mergeCell ref="J6:K6"/>
    <mergeCell ref="J7:K7"/>
    <mergeCell ref="F9:G9"/>
    <mergeCell ref="H9:I9"/>
    <mergeCell ref="J9:K9"/>
    <mergeCell ref="J8:K8"/>
    <mergeCell ref="J52:K52"/>
    <mergeCell ref="L52:M52"/>
    <mergeCell ref="AZ22:AZ23"/>
    <mergeCell ref="AJ22:AK22"/>
    <mergeCell ref="AJ23:AK23"/>
    <mergeCell ref="O50:S50"/>
    <mergeCell ref="U50:W50"/>
    <mergeCell ref="V53:W53"/>
    <mergeCell ref="K47:L47"/>
    <mergeCell ref="N52:O52"/>
    <mergeCell ref="P52:Q52"/>
    <mergeCell ref="R52:S52"/>
    <mergeCell ref="N53:O53"/>
    <mergeCell ref="P53:Q53"/>
    <mergeCell ref="R53:S53"/>
    <mergeCell ref="O49:S49"/>
    <mergeCell ref="Z2:AF2"/>
    <mergeCell ref="T55:U55"/>
    <mergeCell ref="V55:W55"/>
    <mergeCell ref="K49:L49"/>
    <mergeCell ref="T52:U52"/>
    <mergeCell ref="V52:W52"/>
    <mergeCell ref="T53:U53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8:S48"/>
    <mergeCell ref="F53:G53"/>
    <mergeCell ref="H53:I53"/>
    <mergeCell ref="J53:K53"/>
    <mergeCell ref="L53:M53"/>
    <mergeCell ref="F52:G52"/>
    <mergeCell ref="H52:I52"/>
    <mergeCell ref="L55:M55"/>
    <mergeCell ref="L54:M54"/>
    <mergeCell ref="DE209:DF209"/>
    <mergeCell ref="R55:S55"/>
    <mergeCell ref="N55:O55"/>
    <mergeCell ref="P55:Q55"/>
    <mergeCell ref="F55:G55"/>
    <mergeCell ref="H55:I55"/>
    <mergeCell ref="J55:K55"/>
  </mergeCells>
  <phoneticPr fontId="0" type="noConversion"/>
  <conditionalFormatting sqref="AL3">
    <cfRule type="cellIs" dxfId="50" priority="1" stopIfTrue="1" operator="notEqual">
      <formula>0</formula>
    </cfRule>
  </conditionalFormatting>
  <conditionalFormatting sqref="BF30:BG31">
    <cfRule type="cellIs" dxfId="49" priority="2" stopIfTrue="1" operator="equal">
      <formula>"NONE"</formula>
    </cfRule>
    <cfRule type="cellIs" dxfId="48" priority="3" stopIfTrue="1" operator="notEqual">
      <formula>"NONE"</formula>
    </cfRule>
  </conditionalFormatting>
  <conditionalFormatting sqref="V50:W50 V4:W4">
    <cfRule type="cellIs" dxfId="47" priority="4" stopIfTrue="1" operator="equal">
      <formula>"Totals Correct"</formula>
    </cfRule>
    <cfRule type="cellIs" dxfId="46" priority="5" stopIfTrue="1" operator="equal">
      <formula>"ERROR"</formula>
    </cfRule>
  </conditionalFormatting>
  <conditionalFormatting sqref="U50 U4">
    <cfRule type="cellIs" dxfId="45" priority="6" stopIfTrue="1" operator="equal">
      <formula>"OK TO MOVE TO NEXT STAGE"</formula>
    </cfRule>
    <cfRule type="cellIs" dxfId="44" priority="7" stopIfTrue="1" operator="equal">
      <formula>"DO NOT MOVE TO NEXT STAGE"</formula>
    </cfRule>
  </conditionalFormatting>
  <conditionalFormatting sqref="BX30">
    <cfRule type="cellIs" dxfId="43" priority="8" stopIfTrue="1" operator="equal">
      <formula>"Calculations OK"</formula>
    </cfRule>
    <cfRule type="cellIs" dxfId="42" priority="9" stopIfTrue="1" operator="equal">
      <formula>"Check Count for Error"</formula>
    </cfRule>
  </conditionalFormatting>
  <hyperlinks>
    <hyperlink ref="Z6:AF7" location="'Stage 12'!A83:W83" display="BACK to Overview of STAGE 12"/>
    <hyperlink ref="AL28" location="'Stage 2'!BI1" display="MOVE TO TRANSFER OF SURPLUS VOTES FORM"/>
    <hyperlink ref="AL31" location="'Stage 2'!CC1" display="MOVE TO EXCLUDE CANDIDATE FORM"/>
    <hyperlink ref="AL28:AQ29" location="'Stage 13'!AY1:BK1" display="MOVE TO TRANSFER OF SURPLUS VOTES FORM"/>
    <hyperlink ref="AL31:AQ32" location="'Stage 13'!BN1:CE1" display="MOVE TO EXCLUDE CANDIDATE FORM"/>
    <hyperlink ref="BI3:BK3" location="'Stage 13'!Y1:AR1" display="BACK to DECISION FORM"/>
    <hyperlink ref="BI30:BK31" location="'Stage 13'!A83:W83" display="FORWARD to OVERVIEW OF STAGE 13"/>
    <hyperlink ref="O50" location="'Stage 3'!A1" display="MOVE TO STAGE 3"/>
    <hyperlink ref="O48" location="'Stage 3'!A1" display="MOVE TO STAGE 3"/>
    <hyperlink ref="O48:S48" location="'Stage 13'!Y1:AR1" display="BACK to DECISION FORM Stage 13"/>
    <hyperlink ref="O50:S50" location="'Stage 14'!Y1:AR1" display="FORWARD TO STAGE 14"/>
    <hyperlink ref="O4" location="'Stage 3'!A1" display="MOVE TO STAGE 3"/>
    <hyperlink ref="O2" location="'Stage 3'!A1" display="MOVE TO STAGE 3"/>
    <hyperlink ref="O2:S2" location="'Stage 13'!Y1:AR1" display="BACK to DECISION FORM Stage 13"/>
    <hyperlink ref="O4:S4" location="'Stage 14'!Y1:AR1" display="FORWARD TO STAGE 14"/>
    <hyperlink ref="CB2" location="'Stage 2'!AQ5" display="MOVE TO NEXT FORM"/>
    <hyperlink ref="CB2:CE2" location="'Stage 13'!Y1:AR1" display="BACK to DECISION FORM"/>
    <hyperlink ref="CB31" location="'Stage 2'!A1" display="HOME TO OVERVIEW OF STAGE 2"/>
    <hyperlink ref="CB31:CE32" location="'Stage 13'!A83:W83" display="FORWARD to OVERVIEW OF STAGE 13"/>
    <hyperlink ref="O3:S3" location="'Stage 13'!A83:W83" display="OVERVIEW OF STAGES 10 - 13"/>
    <hyperlink ref="O49:S49" location="'Stage 13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DF232"/>
  <sheetViews>
    <sheetView showGridLines="0" showZeros="0" zoomScale="75" workbookViewId="0">
      <selection activeCell="F54" sqref="F54:G5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9.90625" customWidth="1"/>
    <col min="25" max="25" width="4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3" max="43" width="10" customWidth="1"/>
    <col min="44" max="44" width="16.36328125" customWidth="1"/>
    <col min="45" max="45" width="223.36328125" customWidth="1"/>
    <col min="50" max="50" width="225.363281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9.3632812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282</v>
      </c>
      <c r="J1" s="85" t="s">
        <v>37</v>
      </c>
      <c r="K1" s="319">
        <f>'Basic Input'!C2</f>
        <v>45064</v>
      </c>
      <c r="L1" s="319"/>
      <c r="Z1" s="10" t="s">
        <v>302</v>
      </c>
      <c r="AQ1" s="33"/>
      <c r="AZ1" s="10" t="s">
        <v>126</v>
      </c>
      <c r="BE1" s="34" t="str">
        <f>IF(AT5="T","COMPLETE THIS FORM","YOU HAVE NOT SELECTED TO COMPLETE THIS FORM")</f>
        <v>YOU HAVE NOT SELECTED TO COMPLETE THIS FORM</v>
      </c>
      <c r="BR1" s="10" t="s">
        <v>127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303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I2" s="313"/>
      <c r="BJ2" s="313"/>
      <c r="BK2" s="313"/>
      <c r="BR2" s="36" t="s">
        <v>282</v>
      </c>
      <c r="CB2" s="345" t="s">
        <v>131</v>
      </c>
      <c r="CC2" s="346"/>
      <c r="CD2" s="346"/>
      <c r="CE2" s="347"/>
    </row>
    <row r="3" spans="1:105" ht="18.5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76" t="s">
        <v>304</v>
      </c>
      <c r="P3" s="377"/>
      <c r="Q3" s="377"/>
      <c r="R3" s="377"/>
      <c r="S3" s="378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0</v>
      </c>
      <c r="AJ3" s="163"/>
      <c r="AK3" s="163"/>
      <c r="AL3" s="352">
        <f>IF(AQ5="n","MOVE TO EXCLUDE CANDIDATE FORM",IF(AQ5="y","MOVE TO TRANSFER OF SURPLUS VOTES FORM",0))</f>
        <v>0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L3" s="114"/>
      <c r="BR3" s="81" t="s">
        <v>133</v>
      </c>
      <c r="BS3" s="82"/>
      <c r="BT3" s="348"/>
      <c r="BU3" s="349"/>
      <c r="BV3" s="349"/>
      <c r="BW3" s="349"/>
      <c r="BX3" s="349"/>
      <c r="BY3" s="349"/>
      <c r="BZ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305</v>
      </c>
      <c r="P4" s="346"/>
      <c r="Q4" s="346"/>
      <c r="R4" s="346"/>
      <c r="S4" s="347"/>
      <c r="U4" s="311" t="str">
        <f>IF(O79="ERROR","DO NOT MOVE TO NEXT STAGE","OK TO MOVE TO NEXT STAGE")</f>
        <v>DO NOT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3.2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201"/>
      <c r="AT5" s="7">
        <f>IF(AQ5=0,0,IF(AQ5="Y","T","E"))</f>
        <v>0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IF(C57=0,0,IF(M57=0,"Excluded",0))</f>
        <v>Excluded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27" t="s">
        <v>306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Transfer</v>
      </c>
      <c r="AR6" s="302"/>
      <c r="AS6" s="181"/>
      <c r="AT6" s="91"/>
      <c r="AU6" s="91"/>
      <c r="AW6" s="33"/>
      <c r="AX6" s="33"/>
      <c r="AZ6" s="36" t="s">
        <v>282</v>
      </c>
      <c r="BA6" s="245"/>
      <c r="BE6" s="61" t="str">
        <f>'Verification of Boxes'!J11</f>
        <v>FLYNN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4" si="2">IF(C58=0,0,IF(M58=0,"Excluded",0))</f>
        <v>Excluded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Exclude</v>
      </c>
      <c r="U7" s="362"/>
      <c r="V7" s="361">
        <f>'Stage 10'!V7:W7</f>
        <v>0</v>
      </c>
      <c r="W7" s="362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EWING</v>
      </c>
      <c r="G8" s="364"/>
      <c r="H8" s="359" t="str">
        <f>'Stage 3'!H8:I8</f>
        <v xml:space="preserve"> MCEVOY</v>
      </c>
      <c r="I8" s="360"/>
      <c r="J8" s="359" t="str">
        <f>'Stage 4'!J8:K8</f>
        <v>GREHAN</v>
      </c>
      <c r="K8" s="360"/>
      <c r="L8" s="359" t="str">
        <f>'Stage 5'!L8:M8</f>
        <v>GIVAN</v>
      </c>
      <c r="M8" s="360"/>
      <c r="N8" s="359" t="str">
        <f>'Stage 6'!N8:O8</f>
        <v>FRENCH</v>
      </c>
      <c r="O8" s="360"/>
      <c r="P8" s="359" t="str">
        <f>'Stage 7'!P8:Q8</f>
        <v>FLYNN</v>
      </c>
      <c r="Q8" s="360"/>
      <c r="R8" s="359" t="str">
        <f>'Stage 8'!R8:S8</f>
        <v>KENNEDY</v>
      </c>
      <c r="S8" s="360"/>
      <c r="T8" s="359" t="str">
        <f>'Stage 9'!T8:U8</f>
        <v>PALMER</v>
      </c>
      <c r="U8" s="360"/>
      <c r="V8" s="359">
        <f>'Stage 10'!V8:W8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GIVAN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EWING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115" t="s">
        <v>112</v>
      </c>
      <c r="W9" s="116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Transfer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7">
        <f t="shared" si="3"/>
        <v>0</v>
      </c>
      <c r="BP9" s="66"/>
      <c r="BR9" s="9" t="str">
        <f>'Verification of Boxes'!J11</f>
        <v>FLYNN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113</v>
      </c>
      <c r="B10" s="18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KENNEDY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FRENCH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13'!B57</f>
        <v>1</v>
      </c>
      <c r="C11" s="30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>'Stage 3'!H11</f>
        <v>0</v>
      </c>
      <c r="I11" s="135">
        <f>'Stage 3'!I11</f>
        <v>1071</v>
      </c>
      <c r="J11" s="71">
        <f>'Stage 4'!J11</f>
        <v>0</v>
      </c>
      <c r="K11" s="135">
        <f>'Stage 4'!K11</f>
        <v>1071</v>
      </c>
      <c r="L11" s="71">
        <f>'Stage 5'!L11</f>
        <v>0</v>
      </c>
      <c r="M11" s="135">
        <f>'Stage 5'!M11</f>
        <v>1071</v>
      </c>
      <c r="N11" s="71">
        <f>'Stage 6'!N11</f>
        <v>0</v>
      </c>
      <c r="O11" s="135">
        <f>'Stage 6'!O11</f>
        <v>1071</v>
      </c>
      <c r="P11" s="71">
        <f>'Stage 7'!P11</f>
        <v>0</v>
      </c>
      <c r="Q11" s="135">
        <f>'Stage 7'!Q11</f>
        <v>1071</v>
      </c>
      <c r="R11" s="71">
        <f>'Stage 8'!R11</f>
        <v>0</v>
      </c>
      <c r="S11" s="135">
        <f>'Stage 8'!S11</f>
        <v>1071</v>
      </c>
      <c r="T11" s="71">
        <f>'Stage 9'!T11</f>
        <v>0</v>
      </c>
      <c r="U11" s="135">
        <f>'Stage 9'!U11</f>
        <v>1071</v>
      </c>
      <c r="V11" s="71">
        <f>'Stage 10'!V11</f>
        <v>0</v>
      </c>
      <c r="W11" s="135">
        <f>'Stage 10'!W11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Excluded</v>
      </c>
      <c r="B12" s="235">
        <f>'Stage 13'!B58</f>
        <v>0</v>
      </c>
      <c r="C12" s="31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>'Stage 3'!H12</f>
        <v>1</v>
      </c>
      <c r="I12" s="135">
        <f>'Stage 3'!I12</f>
        <v>494.42</v>
      </c>
      <c r="J12" s="71">
        <f>'Stage 4'!J12</f>
        <v>0.48</v>
      </c>
      <c r="K12" s="135">
        <f>'Stage 4'!K12</f>
        <v>494.90000000000003</v>
      </c>
      <c r="L12" s="71">
        <f>'Stage 5'!L12</f>
        <v>0.04</v>
      </c>
      <c r="M12" s="135">
        <f>'Stage 5'!M12</f>
        <v>494.94000000000005</v>
      </c>
      <c r="N12" s="71">
        <f>'Stage 6'!N12</f>
        <v>176.15</v>
      </c>
      <c r="O12" s="135">
        <f>'Stage 6'!O12</f>
        <v>671.09</v>
      </c>
      <c r="P12" s="71">
        <f>'Stage 7'!P12</f>
        <v>-671.09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MITCHELL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13'!B59</f>
        <v>0</v>
      </c>
      <c r="C13" s="31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>'Stage 3'!H13</f>
        <v>4</v>
      </c>
      <c r="I13" s="135">
        <f>'Stage 3'!I13</f>
        <v>476.42</v>
      </c>
      <c r="J13" s="71">
        <f>'Stage 4'!J13</f>
        <v>0.89999999999999991</v>
      </c>
      <c r="K13" s="135">
        <f>'Stage 4'!K13</f>
        <v>477.32</v>
      </c>
      <c r="L13" s="71">
        <f>'Stage 5'!L13</f>
        <v>0.02</v>
      </c>
      <c r="M13" s="135">
        <f>'Stage 5'!M13</f>
        <v>477.34</v>
      </c>
      <c r="N13" s="71">
        <f>'Stage 6'!N13</f>
        <v>-477.34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115</v>
      </c>
      <c r="AA13" s="124" t="s">
        <v>168</v>
      </c>
      <c r="AB13" s="16"/>
      <c r="AC13" s="16" t="s">
        <v>169</v>
      </c>
      <c r="AD13" s="18"/>
      <c r="AE13" s="16" t="s">
        <v>170</v>
      </c>
      <c r="AF13" s="18" t="s">
        <v>171</v>
      </c>
      <c r="AG13" s="14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/>
      <c r="BE13" s="61" t="str">
        <f>'Verification of Boxes'!J18</f>
        <v>PALMER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KENNEDY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13'!B60</f>
        <v>3</v>
      </c>
      <c r="C14" s="31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>'Stage 3'!H14</f>
        <v>0</v>
      </c>
      <c r="I14" s="135">
        <f>'Stage 3'!I14</f>
        <v>1089.5999999999999</v>
      </c>
      <c r="J14" s="71">
        <f>'Stage 4'!J14</f>
        <v>0</v>
      </c>
      <c r="K14" s="135">
        <f>'Stage 4'!K14</f>
        <v>1089.5999999999999</v>
      </c>
      <c r="L14" s="71">
        <f>'Stage 5'!L14</f>
        <v>-18.599999999999909</v>
      </c>
      <c r="M14" s="135">
        <f>'Stage 5'!M14</f>
        <v>1071</v>
      </c>
      <c r="N14" s="71">
        <f>'Stage 6'!N14</f>
        <v>0</v>
      </c>
      <c r="O14" s="135">
        <f>'Stage 6'!O14</f>
        <v>1071</v>
      </c>
      <c r="P14" s="71">
        <f>'Stage 7'!P14</f>
        <v>0</v>
      </c>
      <c r="Q14" s="135">
        <f>'Stage 7'!Q14</f>
        <v>1071</v>
      </c>
      <c r="R14" s="71">
        <f>'Stage 8'!R14</f>
        <v>0</v>
      </c>
      <c r="S14" s="135">
        <f>'Stage 8'!S14</f>
        <v>1071</v>
      </c>
      <c r="T14" s="71">
        <f>'Stage 9'!T14</f>
        <v>0</v>
      </c>
      <c r="U14" s="135">
        <f>'Stage 9'!U14</f>
        <v>1071</v>
      </c>
      <c r="V14" s="71">
        <f>'Stage 10'!V14</f>
        <v>0</v>
      </c>
      <c r="W14" s="135">
        <f>'Stage 10'!W14</f>
        <v>0</v>
      </c>
      <c r="Z14" s="92" t="str">
        <f>'Verification of Boxes'!J10</f>
        <v>EWING</v>
      </c>
      <c r="AA14" s="93">
        <f>M57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/>
      <c r="BE14" s="61" t="str">
        <f>'Verification of Boxes'!J19</f>
        <v>PORTER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13'!B61</f>
        <v>2</v>
      </c>
      <c r="C15" s="31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>'Stage 3'!H15</f>
        <v>0</v>
      </c>
      <c r="I15" s="135">
        <f>'Stage 3'!I15</f>
        <v>1111</v>
      </c>
      <c r="J15" s="71">
        <f>'Stage 4'!J15</f>
        <v>-40</v>
      </c>
      <c r="K15" s="135">
        <f>'Stage 4'!K15</f>
        <v>1071</v>
      </c>
      <c r="L15" s="71">
        <f>'Stage 5'!L15</f>
        <v>0</v>
      </c>
      <c r="M15" s="135">
        <f>'Stage 5'!M15</f>
        <v>1071</v>
      </c>
      <c r="N15" s="71">
        <f>'Stage 6'!N15</f>
        <v>0</v>
      </c>
      <c r="O15" s="135">
        <f>'Stage 6'!O15</f>
        <v>1071</v>
      </c>
      <c r="P15" s="71">
        <f>'Stage 7'!P15</f>
        <v>0</v>
      </c>
      <c r="Q15" s="135">
        <f>'Stage 7'!Q15</f>
        <v>1071</v>
      </c>
      <c r="R15" s="71">
        <f>'Stage 8'!R15</f>
        <v>0</v>
      </c>
      <c r="S15" s="135">
        <f>'Stage 8'!S15</f>
        <v>1071</v>
      </c>
      <c r="T15" s="71">
        <f>'Stage 9'!T15</f>
        <v>0</v>
      </c>
      <c r="U15" s="135">
        <f>'Stage 9'!U15</f>
        <v>1071</v>
      </c>
      <c r="V15" s="71">
        <f>'Stage 10'!V15</f>
        <v>0</v>
      </c>
      <c r="W15" s="135">
        <f>'Stage 10'!W15</f>
        <v>0</v>
      </c>
      <c r="Z15" s="95" t="str">
        <f>'Verification of Boxes'!J11</f>
        <v>FLYNN</v>
      </c>
      <c r="AA15" s="37">
        <f t="shared" ref="AA15:AA33" si="16">M58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MITCHELL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Elected</v>
      </c>
      <c r="B16" s="235">
        <f>'Stage 13'!B62</f>
        <v>4</v>
      </c>
      <c r="C16" s="31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>'Stage 3'!H16</f>
        <v>3.06</v>
      </c>
      <c r="I16" s="135">
        <f>'Stage 3'!I16</f>
        <v>677.3</v>
      </c>
      <c r="J16" s="71">
        <f>'Stage 4'!J16</f>
        <v>30.029999999999998</v>
      </c>
      <c r="K16" s="135">
        <f>'Stage 4'!K16</f>
        <v>707.32999999999993</v>
      </c>
      <c r="L16" s="71">
        <f>'Stage 5'!L16</f>
        <v>0.22</v>
      </c>
      <c r="M16" s="135">
        <f>'Stage 5'!M16</f>
        <v>707.55</v>
      </c>
      <c r="N16" s="71">
        <f>'Stage 6'!N16</f>
        <v>241.72</v>
      </c>
      <c r="O16" s="135">
        <f>'Stage 6'!O16</f>
        <v>949.27</v>
      </c>
      <c r="P16" s="71">
        <f>'Stage 7'!P16</f>
        <v>375</v>
      </c>
      <c r="Q16" s="135">
        <f>'Stage 7'!Q16</f>
        <v>1324.27</v>
      </c>
      <c r="R16" s="71">
        <f>'Stage 8'!R16</f>
        <v>-253.26999999999998</v>
      </c>
      <c r="S16" s="135">
        <f>'Stage 8'!S16</f>
        <v>1071</v>
      </c>
      <c r="T16" s="71">
        <f>'Stage 9'!T16</f>
        <v>0</v>
      </c>
      <c r="U16" s="135">
        <f>'Stage 9'!U16</f>
        <v>1071</v>
      </c>
      <c r="V16" s="71">
        <f>'Stage 10'!V16</f>
        <v>0</v>
      </c>
      <c r="W16" s="135">
        <f>'Stage 10'!W16</f>
        <v>0</v>
      </c>
      <c r="Z16" s="95" t="str">
        <f>'Verification of Boxes'!J12</f>
        <v>FRENCH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PALMER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13'!B63</f>
        <v>0</v>
      </c>
      <c r="C17" s="31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>'Stage 3'!H17</f>
        <v>-388.44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GIVAN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 t="str">
        <f>'Verification of Boxes'!J19</f>
        <v>PORTER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13'!B64</f>
        <v>5</v>
      </c>
      <c r="C18" s="31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>'Stage 3'!H18</f>
        <v>91.42</v>
      </c>
      <c r="I18" s="135">
        <f>'Stage 3'!I18</f>
        <v>962.86</v>
      </c>
      <c r="J18" s="71">
        <f>'Stage 4'!J18</f>
        <v>0.72</v>
      </c>
      <c r="K18" s="135">
        <f>'Stage 4'!K18</f>
        <v>963.58</v>
      </c>
      <c r="L18" s="71">
        <f>'Stage 5'!L18</f>
        <v>1.54</v>
      </c>
      <c r="M18" s="135">
        <f>'Stage 5'!M18</f>
        <v>965.12</v>
      </c>
      <c r="N18" s="71">
        <f>'Stage 6'!N18</f>
        <v>6</v>
      </c>
      <c r="O18" s="135">
        <f>'Stage 6'!O18</f>
        <v>971.12</v>
      </c>
      <c r="P18" s="71">
        <f>'Stage 7'!P18</f>
        <v>36.170000000000009</v>
      </c>
      <c r="Q18" s="135">
        <f>'Stage 7'!Q18</f>
        <v>1007.29</v>
      </c>
      <c r="R18" s="71">
        <f>'Stage 8'!R18</f>
        <v>58</v>
      </c>
      <c r="S18" s="135">
        <f>'Stage 8'!S18</f>
        <v>1065.29</v>
      </c>
      <c r="T18" s="71">
        <f>'Stage 9'!T18</f>
        <v>0</v>
      </c>
      <c r="U18" s="135">
        <f>'Stage 9'!U18</f>
        <v>1065.29</v>
      </c>
      <c r="V18" s="71">
        <f>'Stage 10'!V18</f>
        <v>0</v>
      </c>
      <c r="W18" s="135">
        <f>'Stage 10'!W18</f>
        <v>0</v>
      </c>
      <c r="Z18" s="95" t="str">
        <f>'Verification of Boxes'!J14</f>
        <v>GREHAN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13'!B65</f>
        <v>0</v>
      </c>
      <c r="C19" s="31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>'Stage 3'!H19</f>
        <v>64.48</v>
      </c>
      <c r="I19" s="135">
        <f>'Stage 3'!I19</f>
        <v>692.9</v>
      </c>
      <c r="J19" s="71">
        <f>'Stage 4'!J19</f>
        <v>0.69</v>
      </c>
      <c r="K19" s="135">
        <f>'Stage 4'!K19</f>
        <v>693.59</v>
      </c>
      <c r="L19" s="71">
        <f>'Stage 5'!L19</f>
        <v>0.68</v>
      </c>
      <c r="M19" s="135">
        <f>'Stage 5'!M19</f>
        <v>694.27</v>
      </c>
      <c r="N19" s="71">
        <f>'Stage 6'!N19</f>
        <v>12.15</v>
      </c>
      <c r="O19" s="135">
        <f>'Stage 6'!O19</f>
        <v>706.42</v>
      </c>
      <c r="P19" s="71">
        <f>'Stage 7'!P19</f>
        <v>21.06</v>
      </c>
      <c r="Q19" s="135">
        <f>'Stage 7'!Q19</f>
        <v>727.4799999999999</v>
      </c>
      <c r="R19" s="71">
        <f>'Stage 8'!R19</f>
        <v>18</v>
      </c>
      <c r="S19" s="135">
        <f>'Stage 8'!S19</f>
        <v>745.4799999999999</v>
      </c>
      <c r="T19" s="71">
        <f>'Stage 9'!T19</f>
        <v>-745.4799999999999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KENNEDY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13'!B66</f>
        <v>6</v>
      </c>
      <c r="C20" s="31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>'Stage 3'!H20</f>
        <v>204.42</v>
      </c>
      <c r="I20" s="135">
        <f>'Stage 3'!I20</f>
        <v>900.42</v>
      </c>
      <c r="J20" s="71">
        <f>'Stage 4'!J20</f>
        <v>0.39</v>
      </c>
      <c r="K20" s="135">
        <f>'Stage 4'!K20</f>
        <v>900.81</v>
      </c>
      <c r="L20" s="71">
        <f>'Stage 5'!L20</f>
        <v>14.34</v>
      </c>
      <c r="M20" s="135">
        <f>'Stage 5'!M20</f>
        <v>915.15</v>
      </c>
      <c r="N20" s="71">
        <f>'Stage 6'!N20</f>
        <v>6</v>
      </c>
      <c r="O20" s="135">
        <f>'Stage 6'!O20</f>
        <v>921.15</v>
      </c>
      <c r="P20" s="71">
        <f>'Stage 7'!P20</f>
        <v>10.08</v>
      </c>
      <c r="Q20" s="135">
        <f>'Stage 7'!Q20</f>
        <v>931.23</v>
      </c>
      <c r="R20" s="71">
        <f>'Stage 8'!R20</f>
        <v>6</v>
      </c>
      <c r="S20" s="135">
        <f>'Stage 8'!S20</f>
        <v>937.23</v>
      </c>
      <c r="T20" s="71">
        <f>'Stage 9'!T20</f>
        <v>0</v>
      </c>
      <c r="U20" s="135">
        <f>'Stage 9'!U20</f>
        <v>937.23</v>
      </c>
      <c r="V20" s="71">
        <f>'Stage 10'!V20</f>
        <v>0</v>
      </c>
      <c r="W20" s="135">
        <f>'Stage 10'!W20</f>
        <v>0</v>
      </c>
      <c r="Z20" s="95" t="str">
        <f>'Verification of Boxes'!J16</f>
        <v>MCEVOY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39" t="s">
        <v>184</v>
      </c>
      <c r="AK20" s="340"/>
      <c r="AL20" s="142">
        <f>AL46</f>
        <v>1000000</v>
      </c>
      <c r="AM20" s="118"/>
      <c r="AN20" s="142">
        <f>AL20+AG2</f>
        <v>1000000</v>
      </c>
      <c r="AO20" s="334">
        <f>IF(AN20&gt;AG4,0,IF(AN20&lt;AL21,"Exclude lowest candidate",0))</f>
        <v>0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13'!B67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MITCHELL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41" t="s">
        <v>185</v>
      </c>
      <c r="AK21" s="293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13'!B68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PALMER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41" t="s">
        <v>185</v>
      </c>
      <c r="AK22" s="293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13'!B69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 t="str">
        <f>'Verification of Boxes'!J19</f>
        <v>PORTER</v>
      </c>
      <c r="AA23" s="37">
        <f t="shared" si="16"/>
        <v>0</v>
      </c>
      <c r="AB23" s="5"/>
      <c r="AC23" s="100">
        <f t="shared" si="13"/>
        <v>0</v>
      </c>
      <c r="AD23" s="110"/>
      <c r="AE23" s="5" t="str">
        <f t="shared" si="17"/>
        <v>excluded</v>
      </c>
      <c r="AF23" s="5">
        <f t="shared" si="14"/>
        <v>0</v>
      </c>
      <c r="AG23" s="96">
        <f t="shared" si="15"/>
        <v>0</v>
      </c>
      <c r="AJ23" s="341" t="s">
        <v>185</v>
      </c>
      <c r="AK23" s="293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13'!B70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41" t="s">
        <v>185</v>
      </c>
      <c r="AK24" s="293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189</v>
      </c>
      <c r="BA24" s="3" t="s">
        <v>190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13'!B71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55" t="s">
        <v>185</v>
      </c>
      <c r="AK25" s="35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0</v>
      </c>
      <c r="BE25" s="61" t="s">
        <v>193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13'!B72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194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13'!B73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13'!B74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123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13'!B75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30"/>
      <c r="AM29" s="331"/>
      <c r="AN29" s="331"/>
      <c r="AO29" s="331"/>
      <c r="AP29" s="331"/>
      <c r="AQ29" s="332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0</v>
      </c>
      <c r="BR29" s="5" t="s">
        <v>200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13'!B76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307</v>
      </c>
      <c r="BJ30" s="328"/>
      <c r="BK30" s="329"/>
      <c r="BX30" s="333" t="str">
        <f>IF(BW31=BW69,"Calculations OK","Check Count for Error")</f>
        <v>Calculations OK</v>
      </c>
      <c r="BY30" s="333"/>
    </row>
    <row r="31" spans="1:83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1">
        <f>'Stage 3'!H31</f>
        <v>20.059999999999999</v>
      </c>
      <c r="I31" s="135">
        <f>'Stage 3'!I31</f>
        <v>20.079999999999995</v>
      </c>
      <c r="J31" s="71">
        <f>'Stage 4'!J31</f>
        <v>6.7899999999999991</v>
      </c>
      <c r="K31" s="135">
        <f>'Stage 4'!K31</f>
        <v>26.869999999999994</v>
      </c>
      <c r="L31" s="71">
        <f>'Stage 5'!L31</f>
        <v>1.7599999999999092</v>
      </c>
      <c r="M31" s="135">
        <f>'Stage 5'!M31</f>
        <v>28.629999999999903</v>
      </c>
      <c r="N31" s="71">
        <f>'Stage 6'!N31</f>
        <v>35.320000000000007</v>
      </c>
      <c r="O31" s="135">
        <f>'Stage 6'!O31</f>
        <v>63.94999999999991</v>
      </c>
      <c r="P31" s="71">
        <f>'Stage 7'!P31</f>
        <v>228.78</v>
      </c>
      <c r="Q31" s="135">
        <f>'Stage 7'!Q31</f>
        <v>292.7299999999999</v>
      </c>
      <c r="R31" s="71">
        <f>'Stage 8'!R31</f>
        <v>171.26999999999998</v>
      </c>
      <c r="S31" s="135">
        <f>'Stage 8'!S31</f>
        <v>463.99999999999989</v>
      </c>
      <c r="T31" s="71">
        <f>'Stage 9'!T31</f>
        <v>0</v>
      </c>
      <c r="U31" s="135">
        <f>'Stage 9'!U31</f>
        <v>463.99999999999989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203</v>
      </c>
      <c r="BA31" s="3" t="s">
        <v>204</v>
      </c>
      <c r="BB31" s="3"/>
      <c r="BC31" s="50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V31" t="s">
        <v>119</v>
      </c>
      <c r="BW31" s="5">
        <f>BT29+BV29+BX29+BZ29+CB29+CD29</f>
        <v>0</v>
      </c>
      <c r="BX31" s="311"/>
      <c r="BY31" s="311"/>
      <c r="BZ31" s="5">
        <f>BW69-BW31</f>
        <v>0</v>
      </c>
      <c r="CB31" s="327" t="s">
        <v>307</v>
      </c>
      <c r="CC31" s="328"/>
      <c r="CD31" s="328"/>
      <c r="CE31" s="32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1"/>
      <c r="I32" s="135">
        <f>'Stage 3'!I32</f>
        <v>7496</v>
      </c>
      <c r="J32" s="192"/>
      <c r="K32" s="135">
        <f>'Stage 4'!K32</f>
        <v>7495.9999999999991</v>
      </c>
      <c r="L32" s="192"/>
      <c r="M32" s="135">
        <f>'Stage 5'!M32</f>
        <v>7495.9999999999991</v>
      </c>
      <c r="N32" s="192"/>
      <c r="O32" s="135">
        <f>'Stage 6'!O32</f>
        <v>7496</v>
      </c>
      <c r="P32" s="192"/>
      <c r="Q32" s="135">
        <f>'Stage 7'!Q32</f>
        <v>7496</v>
      </c>
      <c r="R32" s="192"/>
      <c r="S32" s="135">
        <f>'Stage 8'!S32</f>
        <v>7496</v>
      </c>
      <c r="T32" s="192"/>
      <c r="U32" s="135">
        <f>'Stage 9'!U32</f>
        <v>6750.52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30"/>
      <c r="AM32" s="331"/>
      <c r="AN32" s="331"/>
      <c r="AO32" s="331"/>
      <c r="AP32" s="331"/>
      <c r="AQ32" s="332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11"/>
      <c r="BG32" s="311"/>
      <c r="BX32" s="311"/>
      <c r="BY32" s="311"/>
      <c r="CB32" s="330"/>
      <c r="CC32" s="331"/>
      <c r="CD32" s="331"/>
      <c r="CE32" s="332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5">
        <f>'Stage 3'!I34</f>
        <v>0</v>
      </c>
      <c r="J34" s="219"/>
      <c r="K34" s="185">
        <f>'Stage 4'!K34</f>
        <v>0</v>
      </c>
      <c r="L34" s="219"/>
      <c r="M34" s="185">
        <f>'Stage 5'!M34</f>
        <v>0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0.77361111111111114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EWING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FLYNN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1:75" x14ac:dyDescent="0.25">
      <c r="Z46" s="253" t="str">
        <v>FRENCH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212</v>
      </c>
    </row>
    <row r="47" spans="1:75" ht="18.5" thickBot="1" x14ac:dyDescent="0.45">
      <c r="A47" s="76" t="str">
        <f>'Verification of Boxes'!B1</f>
        <v>Local Council Elections 2023</v>
      </c>
      <c r="F47" s="10" t="s">
        <v>282</v>
      </c>
      <c r="J47" s="85" t="s">
        <v>37</v>
      </c>
      <c r="K47" s="319">
        <f>'Basic Input'!C2</f>
        <v>45064</v>
      </c>
      <c r="L47" s="319"/>
      <c r="Z47" s="253" t="str">
        <v>GIVAN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Lisburn South</v>
      </c>
      <c r="O48" s="345" t="s">
        <v>303</v>
      </c>
      <c r="P48" s="346"/>
      <c r="Q48" s="346"/>
      <c r="R48" s="346"/>
      <c r="S48" s="347"/>
      <c r="Z48" s="253" t="str">
        <v>GREHAN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EWING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W48" t="s">
        <v>218</v>
      </c>
    </row>
    <row r="49" spans="1:75" ht="23.25" customHeight="1" thickBot="1" x14ac:dyDescent="0.35">
      <c r="C49" s="3" t="s">
        <v>96</v>
      </c>
      <c r="D49" s="68">
        <f>'Verification of Boxes'!L2</f>
        <v>16838</v>
      </c>
      <c r="E49" s="306" t="s">
        <v>62</v>
      </c>
      <c r="F49" s="307"/>
      <c r="G49" s="131">
        <f>'Verification of Boxes'!G3</f>
        <v>6</v>
      </c>
      <c r="H49" s="306" t="s">
        <v>97</v>
      </c>
      <c r="I49" s="307"/>
      <c r="J49" s="131">
        <f>'Verification of Boxes'!L33</f>
        <v>99</v>
      </c>
      <c r="K49" s="306" t="s">
        <v>98</v>
      </c>
      <c r="L49" s="307"/>
      <c r="M49" s="131">
        <f>'Verification of Boxes'!G4</f>
        <v>1071</v>
      </c>
      <c r="O49" s="376" t="s">
        <v>279</v>
      </c>
      <c r="P49" s="377"/>
      <c r="Q49" s="377"/>
      <c r="R49" s="377"/>
      <c r="S49" s="378"/>
      <c r="Z49" s="253" t="str">
        <v>KENNEDY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FLYNN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EWING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0" customHeight="1" thickBot="1" x14ac:dyDescent="0.45">
      <c r="A50" s="10"/>
      <c r="C50" s="3" t="s">
        <v>99</v>
      </c>
      <c r="D50" s="131">
        <f>'Verification of Boxes'!L3</f>
        <v>7595</v>
      </c>
      <c r="E50" s="161" t="s">
        <v>100</v>
      </c>
      <c r="F50" s="160"/>
      <c r="G50" s="67">
        <f>D50-J49</f>
        <v>7496</v>
      </c>
      <c r="H50" s="161" t="s">
        <v>101</v>
      </c>
      <c r="I50" s="160"/>
      <c r="J50" s="132">
        <f>'Verification of Boxes'!L5</f>
        <v>45.106307162370825</v>
      </c>
      <c r="O50" s="345" t="s">
        <v>305</v>
      </c>
      <c r="P50" s="346"/>
      <c r="Q50" s="346"/>
      <c r="R50" s="346"/>
      <c r="S50" s="347"/>
      <c r="U50" s="311" t="str">
        <f>IF(O79="ERROR","DO NOT MOVE TO NEXT STAGE","OK TO MOVE TO NEXT STAGE")</f>
        <v>DO NOT MOVE TO NEXT STAGE</v>
      </c>
      <c r="V50" s="311"/>
      <c r="W50" s="311"/>
      <c r="Z50" s="253" t="str">
        <v>MCEVOY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FRENCH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FLYNN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MITCHELL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GIVAN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FRENCH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94</v>
      </c>
      <c r="F52" s="288" t="s">
        <v>111</v>
      </c>
      <c r="G52" s="290"/>
      <c r="H52" s="288" t="s">
        <v>272</v>
      </c>
      <c r="I52" s="290"/>
      <c r="J52" s="288" t="s">
        <v>280</v>
      </c>
      <c r="K52" s="290"/>
      <c r="L52" s="288" t="s">
        <v>281</v>
      </c>
      <c r="M52" s="290"/>
      <c r="N52" s="288" t="s">
        <v>282</v>
      </c>
      <c r="O52" s="290"/>
      <c r="P52" s="288" t="s">
        <v>283</v>
      </c>
      <c r="Q52" s="290"/>
      <c r="R52" s="288" t="s">
        <v>284</v>
      </c>
      <c r="S52" s="290"/>
      <c r="T52" s="288" t="s">
        <v>285</v>
      </c>
      <c r="U52" s="290"/>
      <c r="V52" s="288" t="s">
        <v>286</v>
      </c>
      <c r="W52" s="290"/>
      <c r="Z52" s="253" t="str">
        <v>PALMER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GREHAN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GIVAN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IF($AT5=0,0,IF($AT5="T",$AZ7,$BR4))</f>
        <v>0</v>
      </c>
      <c r="O53" s="362"/>
      <c r="P53" s="361"/>
      <c r="Q53" s="362"/>
      <c r="R53" s="361"/>
      <c r="S53" s="362"/>
      <c r="T53" s="361"/>
      <c r="U53" s="362"/>
      <c r="V53" s="361"/>
      <c r="W53" s="362"/>
      <c r="Z53" s="253" t="str">
        <v>PORTER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KENNEDY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GREHAN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59">
        <f>IF($N53="Transfer",$BA8,$BT3)</f>
        <v>0</v>
      </c>
      <c r="O54" s="360"/>
      <c r="P54" s="359"/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MCEVOY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KENNEDY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8" t="s">
        <v>112</v>
      </c>
      <c r="G55" s="290"/>
      <c r="H55" s="288" t="s">
        <v>112</v>
      </c>
      <c r="I55" s="290"/>
      <c r="J55" s="288" t="s">
        <v>112</v>
      </c>
      <c r="K55" s="290"/>
      <c r="L55" s="288" t="s">
        <v>112</v>
      </c>
      <c r="M55" s="290"/>
      <c r="N55" s="288" t="s">
        <v>112</v>
      </c>
      <c r="O55" s="290"/>
      <c r="P55" s="288" t="s">
        <v>112</v>
      </c>
      <c r="Q55" s="290"/>
      <c r="R55" s="288" t="s">
        <v>112</v>
      </c>
      <c r="S55" s="290"/>
      <c r="T55" s="288" t="s">
        <v>112</v>
      </c>
      <c r="U55" s="290"/>
      <c r="V55" s="288" t="s">
        <v>112</v>
      </c>
      <c r="W55" s="290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MITCHELL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MCEVOY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113</v>
      </c>
      <c r="B56" s="18" t="s">
        <v>114</v>
      </c>
      <c r="C56" s="16" t="s">
        <v>115</v>
      </c>
      <c r="D56" s="32" t="s">
        <v>116</v>
      </c>
      <c r="E56" s="1" t="s">
        <v>117</v>
      </c>
      <c r="F56" s="115"/>
      <c r="G56" s="116" t="s">
        <v>83</v>
      </c>
      <c r="H56" s="136"/>
      <c r="I56" s="137" t="s">
        <v>83</v>
      </c>
      <c r="J56" s="134"/>
      <c r="K56" s="137" t="s">
        <v>83</v>
      </c>
      <c r="L56" s="134"/>
      <c r="M56" s="137" t="s">
        <v>83</v>
      </c>
      <c r="N56" s="136"/>
      <c r="O56" s="137" t="s">
        <v>83</v>
      </c>
      <c r="P56" s="136"/>
      <c r="Q56" s="137" t="s">
        <v>83</v>
      </c>
      <c r="R56" s="136"/>
      <c r="S56" s="137" t="s">
        <v>83</v>
      </c>
      <c r="T56" s="136"/>
      <c r="U56" s="137" t="s">
        <v>83</v>
      </c>
      <c r="V56" s="136"/>
      <c r="W56" s="137" t="s">
        <v>83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PALMER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MITCHELL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13'!A57&lt;&gt;0,'Stage 13'!A57,IF(O57&gt;=$M$3,"Elected",IF(BP8&lt;&gt;0,"Excluded",0)))</f>
        <v>Elected</v>
      </c>
      <c r="B57" s="235">
        <f>'Stage 13'!B57</f>
        <v>1</v>
      </c>
      <c r="C57" s="29" t="str">
        <f>'Verification of Boxes'!J10</f>
        <v>EWING</v>
      </c>
      <c r="D57" s="152" t="str">
        <f>'Verification of Boxes'!K10</f>
        <v>D.U.P.</v>
      </c>
      <c r="E57" s="108">
        <f>'Verification of Boxes'!L10</f>
        <v>1139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159">
        <f t="shared" ref="N57:N76" si="42">IF($C57&lt;&gt;0,$BK49,0)</f>
        <v>0</v>
      </c>
      <c r="O57" s="39">
        <f t="shared" ref="O57:O77" si="43">IF(N$54=0,0,M57+N57)</f>
        <v>0</v>
      </c>
      <c r="P57" s="157"/>
      <c r="Q57" s="37"/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PORTER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PALMER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13'!A58&lt;&gt;0,'Stage 13'!A58,IF(O58&gt;=$M$3,"Elected",IF(BP9&lt;&gt;0,"Excluded",0)))</f>
        <v>Excluded</v>
      </c>
      <c r="B58" s="235">
        <f>'Stage 13'!B58</f>
        <v>0</v>
      </c>
      <c r="C58" s="20" t="str">
        <f>'Verification of Boxes'!J11</f>
        <v>FLYNN</v>
      </c>
      <c r="D58" s="153" t="str">
        <f>'Verification of Boxes'!K11</f>
        <v>Sinn Féin</v>
      </c>
      <c r="E58" s="109">
        <f>'Verification of Boxes'!L11</f>
        <v>493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159">
        <f t="shared" si="42"/>
        <v>0</v>
      </c>
      <c r="O58" s="39">
        <f t="shared" si="43"/>
        <v>0</v>
      </c>
      <c r="P58" s="157"/>
      <c r="Q58" s="37"/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PORTER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13'!A59&lt;&gt;0,'Stage 13'!A59,IF(O59&gt;=$M$3,"Elected",IF(BP10&lt;&gt;0,"Excluded",0)))</f>
        <v>Excluded</v>
      </c>
      <c r="B59" s="235">
        <f>'Stage 13'!B59</f>
        <v>0</v>
      </c>
      <c r="C59" s="20" t="str">
        <f>'Verification of Boxes'!J12</f>
        <v>FRENCH</v>
      </c>
      <c r="D59" s="153" t="str">
        <f>'Verification of Boxes'!K12</f>
        <v xml:space="preserve">SDLP </v>
      </c>
      <c r="E59" s="109">
        <f>'Verification of Boxes'!L12</f>
        <v>472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159">
        <f t="shared" si="42"/>
        <v>0</v>
      </c>
      <c r="O59" s="39">
        <f t="shared" si="43"/>
        <v>0</v>
      </c>
      <c r="P59" s="157"/>
      <c r="Q59" s="37"/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13'!A60&lt;&gt;0,'Stage 13'!A60,IF(O60&gt;=$M$3,"Elected",IF(BP11&lt;&gt;0,"Excluded",0)))</f>
        <v>Elected</v>
      </c>
      <c r="B60" s="235">
        <f>'Stage 13'!B60</f>
        <v>3</v>
      </c>
      <c r="C60" s="20" t="str">
        <f>'Verification of Boxes'!J13</f>
        <v>GIVAN</v>
      </c>
      <c r="D60" s="153" t="str">
        <f>'Verification of Boxes'!K13</f>
        <v>D.U.P.</v>
      </c>
      <c r="E60" s="109">
        <f>'Verification of Boxes'!L13</f>
        <v>1038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159">
        <f t="shared" si="42"/>
        <v>0</v>
      </c>
      <c r="O60" s="39">
        <f t="shared" si="43"/>
        <v>0</v>
      </c>
      <c r="P60" s="157"/>
      <c r="Q60" s="37"/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13'!A61&lt;&gt;0,'Stage 13'!A61,IF(O61&gt;=$M$3,"Elected",IF(BP12&lt;&gt;0,"Excluded",0)))</f>
        <v>Elected</v>
      </c>
      <c r="B61" s="235">
        <f>'Stage 13'!B61</f>
        <v>2</v>
      </c>
      <c r="C61" s="20" t="str">
        <f>'Verification of Boxes'!J14</f>
        <v>GREHAN</v>
      </c>
      <c r="D61" s="153" t="str">
        <f>'Verification of Boxes'!K14</f>
        <v>Alliance Party</v>
      </c>
      <c r="E61" s="109">
        <f>'Verification of Boxes'!L14</f>
        <v>1111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159">
        <f t="shared" si="42"/>
        <v>0</v>
      </c>
      <c r="O61" s="39">
        <f t="shared" si="43"/>
        <v>0</v>
      </c>
      <c r="P61" s="157"/>
      <c r="Q61" s="37"/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13'!A62&lt;&gt;0,'Stage 13'!A62,IF(O62&gt;=$M$3,"Elected",IF(BP13&lt;&gt;0,"Excluded",0)))</f>
        <v>Elected</v>
      </c>
      <c r="B62" s="235">
        <f>'Stage 13'!B62</f>
        <v>4</v>
      </c>
      <c r="C62" s="20" t="str">
        <f>'Verification of Boxes'!J15</f>
        <v>KENNEDY</v>
      </c>
      <c r="D62" s="153" t="str">
        <f>'Verification of Boxes'!K15</f>
        <v>Alliance Party</v>
      </c>
      <c r="E62" s="109">
        <f>'Verification of Boxes'!L15</f>
        <v>674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159">
        <f t="shared" si="42"/>
        <v>0</v>
      </c>
      <c r="O62" s="39">
        <f t="shared" si="43"/>
        <v>0</v>
      </c>
      <c r="P62" s="157"/>
      <c r="Q62" s="37"/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13'!A63&lt;&gt;0,'Stage 13'!A63,IF(O63&gt;=$M$3,"Elected",IF(BP14&lt;&gt;0,"Excluded",0)))</f>
        <v>Excluded</v>
      </c>
      <c r="B63" s="235">
        <f>'Stage 13'!B63</f>
        <v>0</v>
      </c>
      <c r="C63" s="20" t="str">
        <f>'Verification of Boxes'!J16</f>
        <v>MCEVOY</v>
      </c>
      <c r="D63" s="153" t="str">
        <f>'Verification of Boxes'!K16</f>
        <v xml:space="preserve">TUV </v>
      </c>
      <c r="E63" s="109">
        <f>'Verification of Boxes'!L16</f>
        <v>387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159">
        <f t="shared" si="42"/>
        <v>0</v>
      </c>
      <c r="O63" s="39">
        <f t="shared" si="43"/>
        <v>0</v>
      </c>
      <c r="P63" s="157"/>
      <c r="Q63" s="37"/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>
        <f>IF('Stage 13'!A64&lt;&gt;0,'Stage 13'!A64,IF(O64&gt;=$M$3,"Elected",IF(BP15&lt;&gt;0,"Excluded",0)))</f>
        <v>0</v>
      </c>
      <c r="B64" s="235">
        <f>'Stage 13'!B64</f>
        <v>5</v>
      </c>
      <c r="C64" s="20" t="str">
        <f>'Verification of Boxes'!J17</f>
        <v>MITCHELL</v>
      </c>
      <c r="D64" s="153" t="str">
        <f>'Verification of Boxes'!K17</f>
        <v>UUP</v>
      </c>
      <c r="E64" s="109">
        <f>'Verification of Boxes'!L17</f>
        <v>870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159">
        <f t="shared" si="42"/>
        <v>0</v>
      </c>
      <c r="O64" s="39">
        <f t="shared" si="43"/>
        <v>0</v>
      </c>
      <c r="P64" s="157"/>
      <c r="Q64" s="37"/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13'!A65&lt;&gt;0,'Stage 13'!A65,IF(O65&gt;=$M$3,"Elected",IF(BP16&lt;&gt;0,"Excluded",0)))</f>
        <v>Excluded</v>
      </c>
      <c r="B65" s="235">
        <f>'Stage 13'!B65</f>
        <v>0</v>
      </c>
      <c r="C65" s="20" t="str">
        <f>'Verification of Boxes'!J18</f>
        <v>PALMER</v>
      </c>
      <c r="D65" s="153" t="str">
        <f>'Verification of Boxes'!K18</f>
        <v>UUP</v>
      </c>
      <c r="E65" s="109">
        <f>'Verification of Boxes'!L18</f>
        <v>625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159">
        <f t="shared" si="42"/>
        <v>0</v>
      </c>
      <c r="O65" s="39">
        <f t="shared" si="43"/>
        <v>0</v>
      </c>
      <c r="P65" s="157"/>
      <c r="Q65" s="37"/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13'!A66&lt;&gt;0,'Stage 13'!A66,IF(O66&gt;=$M$3,"Elected",IF(BP17&lt;&gt;0,"Excluded",0)))</f>
        <v>0</v>
      </c>
      <c r="B66" s="235">
        <f>'Stage 13'!B66</f>
        <v>6</v>
      </c>
      <c r="C66" s="20" t="str">
        <f>'Verification of Boxes'!J19</f>
        <v>PORTER</v>
      </c>
      <c r="D66" s="153" t="str">
        <f>'Verification of Boxes'!K19</f>
        <v>D.U.P.</v>
      </c>
      <c r="E66" s="109">
        <f>'Verification of Boxes'!L19</f>
        <v>687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159">
        <f t="shared" si="42"/>
        <v>0</v>
      </c>
      <c r="O66" s="39">
        <f t="shared" si="43"/>
        <v>0</v>
      </c>
      <c r="P66" s="157"/>
      <c r="Q66" s="37"/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13'!A67&lt;&gt;0,'Stage 13'!A67,IF(O67&gt;=$M$3,"Elected",IF(BP18&lt;&gt;0,"Excluded",0)))</f>
        <v>0</v>
      </c>
      <c r="B67" s="235">
        <f>'Stage 13'!B67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159">
        <f t="shared" si="42"/>
        <v>0</v>
      </c>
      <c r="O67" s="39">
        <f t="shared" si="43"/>
        <v>0</v>
      </c>
      <c r="P67" s="157"/>
      <c r="Q67" s="37"/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13'!A68&lt;&gt;0,'Stage 13'!A68,IF(O68&gt;=$M$3,"Elected",IF(BP19&lt;&gt;0,"Excluded",0)))</f>
        <v>0</v>
      </c>
      <c r="B68" s="235">
        <f>'Stage 13'!B68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159">
        <f t="shared" si="42"/>
        <v>0</v>
      </c>
      <c r="O68" s="39">
        <f t="shared" si="43"/>
        <v>0</v>
      </c>
      <c r="P68" s="157"/>
      <c r="Q68" s="37"/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13'!A69&lt;&gt;0,'Stage 13'!A69,IF(O69&gt;=$M$3,"Elected",IF(BP20&lt;&gt;0,"Excluded",0)))</f>
        <v>0</v>
      </c>
      <c r="B69" s="235">
        <f>'Stage 13'!B69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159">
        <f t="shared" si="42"/>
        <v>0</v>
      </c>
      <c r="O69" s="39">
        <f t="shared" si="43"/>
        <v>0</v>
      </c>
      <c r="P69" s="157"/>
      <c r="Q69" s="37"/>
      <c r="R69" s="157"/>
      <c r="S69" s="37"/>
      <c r="T69" s="157"/>
      <c r="U69" s="37"/>
      <c r="V69" s="157"/>
      <c r="W69" s="37"/>
      <c r="BG69" t="s">
        <v>219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13'!A70&lt;&gt;0,'Stage 13'!A70,IF(O70&gt;=$M$3,"Elected",IF(BP21&lt;&gt;0,"Excluded",0)))</f>
        <v>0</v>
      </c>
      <c r="B70" s="235">
        <f>'Stage 13'!B70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159">
        <f t="shared" si="42"/>
        <v>0</v>
      </c>
      <c r="O70" s="39">
        <f t="shared" si="43"/>
        <v>0</v>
      </c>
      <c r="P70" s="157"/>
      <c r="Q70" s="37"/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13'!A71&lt;&gt;0,'Stage 13'!A71,IF(O71&gt;=$M$3,"Elected",IF(BP22&lt;&gt;0,"Excluded",0)))</f>
        <v>0</v>
      </c>
      <c r="B71" s="235">
        <f>'Stage 13'!B71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159">
        <f t="shared" si="42"/>
        <v>0</v>
      </c>
      <c r="O71" s="39">
        <f t="shared" si="43"/>
        <v>0</v>
      </c>
      <c r="P71" s="157"/>
      <c r="Q71" s="37"/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13'!A72&lt;&gt;0,'Stage 13'!A72,IF(O72&gt;=$M$3,"Elected",IF(BP23&lt;&gt;0,"Excluded",0)))</f>
        <v>0</v>
      </c>
      <c r="B72" s="235">
        <f>'Stage 13'!B72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159">
        <f t="shared" si="42"/>
        <v>0</v>
      </c>
      <c r="O72" s="39">
        <f t="shared" si="43"/>
        <v>0</v>
      </c>
      <c r="P72" s="157"/>
      <c r="Q72" s="37"/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13'!A73&lt;&gt;0,'Stage 13'!A73,IF(O73&gt;=$M$3,"Elected",IF(BP24&lt;&gt;0,"Excluded",0)))</f>
        <v>0</v>
      </c>
      <c r="B73" s="235">
        <f>'Stage 13'!B73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159">
        <f t="shared" si="42"/>
        <v>0</v>
      </c>
      <c r="O73" s="39">
        <f t="shared" si="43"/>
        <v>0</v>
      </c>
      <c r="P73" s="157"/>
      <c r="Q73" s="37"/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13'!A74&lt;&gt;0,'Stage 13'!A74,IF(O74&gt;=$M$3,"Elected",IF(BP25&lt;&gt;0,"Excluded",0)))</f>
        <v>0</v>
      </c>
      <c r="B74" s="235">
        <f>'Stage 13'!B74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159">
        <f t="shared" si="42"/>
        <v>0</v>
      </c>
      <c r="O74" s="39">
        <f t="shared" si="43"/>
        <v>0</v>
      </c>
      <c r="P74" s="157"/>
      <c r="Q74" s="37"/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13'!A75&lt;&gt;0,'Stage 13'!A75,IF(O75&gt;=$M$3,"Elected",IF(BP26&lt;&gt;0,"Excluded",0)))</f>
        <v>0</v>
      </c>
      <c r="B75" s="235">
        <f>'Stage 13'!B75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159">
        <f t="shared" si="42"/>
        <v>0</v>
      </c>
      <c r="O75" s="39">
        <f t="shared" si="43"/>
        <v>0</v>
      </c>
      <c r="P75" s="157"/>
      <c r="Q75" s="37"/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13'!A76&lt;&gt;0,'Stage 13'!A76,IF(O76&gt;=$M$3,"Elected",IF(BP27&lt;&gt;0,"Excluded",0)))</f>
        <v>0</v>
      </c>
      <c r="B76" s="235">
        <f>'Stage 13'!B76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159">
        <f t="shared" si="42"/>
        <v>0</v>
      </c>
      <c r="O76" s="39">
        <f t="shared" si="43"/>
        <v>0</v>
      </c>
      <c r="P76" s="157"/>
      <c r="Q76" s="37"/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118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$BK69</f>
        <v>0</v>
      </c>
      <c r="O77" s="41">
        <f t="shared" si="43"/>
        <v>0</v>
      </c>
      <c r="P77" s="157"/>
      <c r="Q77" s="37"/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119</v>
      </c>
      <c r="E78" s="45">
        <f>SUM(E57:E76)</f>
        <v>7496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50">
        <f>SUM(O57:O77)</f>
        <v>0</v>
      </c>
      <c r="P78" s="202"/>
      <c r="Q78" s="37"/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t="str">
        <f>IF(O78=$G50,"Totals Correct","ERROR")</f>
        <v>ERROR</v>
      </c>
    </row>
    <row r="80" spans="1:75" ht="13" thickBot="1" x14ac:dyDescent="0.3">
      <c r="D80" s="42" t="s">
        <v>120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20"/>
      <c r="O80" s="183"/>
      <c r="P80" s="219"/>
      <c r="Q80" s="185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308</v>
      </c>
      <c r="DF210" s="231" t="s">
        <v>221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N57</f>
        <v>0</v>
      </c>
      <c r="DF211" s="233">
        <f>O57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FLYNN</v>
      </c>
      <c r="DC212" s="232" t="str">
        <f t="shared" si="49"/>
        <v>Sinn Féin</v>
      </c>
      <c r="DD212" s="233">
        <f t="shared" si="49"/>
        <v>493</v>
      </c>
      <c r="DE212" s="233">
        <f t="shared" ref="DE212:DF212" si="50">N58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FRENCH</v>
      </c>
      <c r="DC213" s="232" t="str">
        <f t="shared" si="49"/>
        <v xml:space="preserve">SDLP </v>
      </c>
      <c r="DD213" s="233">
        <f t="shared" si="49"/>
        <v>472</v>
      </c>
      <c r="DE213" s="233">
        <f t="shared" ref="DE213:DF213" si="51">N59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GIVAN</v>
      </c>
      <c r="DC214" s="232" t="str">
        <f t="shared" si="49"/>
        <v>D.U.P.</v>
      </c>
      <c r="DD214" s="233">
        <f t="shared" si="49"/>
        <v>1038</v>
      </c>
      <c r="DE214" s="233">
        <f t="shared" ref="DE214:DF214" si="52">N60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E2</v>
      </c>
      <c r="DB215" s="232" t="str">
        <f t="shared" si="49"/>
        <v>GREHAN</v>
      </c>
      <c r="DC215" s="232" t="str">
        <f t="shared" si="49"/>
        <v>Alliance Party</v>
      </c>
      <c r="DD215" s="233">
        <f t="shared" si="49"/>
        <v>1111</v>
      </c>
      <c r="DE215" s="233">
        <f t="shared" ref="DE215:DF215" si="53">N61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E4</v>
      </c>
      <c r="DB216" s="232" t="str">
        <f t="shared" si="49"/>
        <v>KENNEDY</v>
      </c>
      <c r="DC216" s="232" t="str">
        <f t="shared" si="49"/>
        <v>Alliance Party</v>
      </c>
      <c r="DD216" s="233">
        <f t="shared" si="49"/>
        <v>674</v>
      </c>
      <c r="DE216" s="233">
        <f t="shared" ref="DE216:DF216" si="54">N62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MCEVOY</v>
      </c>
      <c r="DC217" s="232" t="str">
        <f t="shared" si="49"/>
        <v xml:space="preserve">TUV </v>
      </c>
      <c r="DD217" s="233">
        <f t="shared" si="49"/>
        <v>387</v>
      </c>
      <c r="DE217" s="233">
        <f t="shared" ref="DE217:DF217" si="55">N63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5</v>
      </c>
      <c r="DB218" s="232" t="str">
        <f t="shared" si="49"/>
        <v>MITCHELL</v>
      </c>
      <c r="DC218" s="232" t="str">
        <f t="shared" si="49"/>
        <v>UUP</v>
      </c>
      <c r="DD218" s="233">
        <f t="shared" si="49"/>
        <v>870</v>
      </c>
      <c r="DE218" s="233">
        <f t="shared" ref="DE218:DF218" si="56">N64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PALMER</v>
      </c>
      <c r="DC219" s="232" t="str">
        <f t="shared" si="49"/>
        <v>UUP</v>
      </c>
      <c r="DD219" s="233">
        <f t="shared" si="49"/>
        <v>625</v>
      </c>
      <c r="DE219" s="233">
        <f t="shared" ref="DE219:DF219" si="57">N65</f>
        <v>0</v>
      </c>
      <c r="DF219" s="233">
        <f t="shared" si="57"/>
        <v>0</v>
      </c>
    </row>
    <row r="220" spans="105:110" ht="15.5" x14ac:dyDescent="0.35">
      <c r="DA220" s="232" t="str">
        <f t="shared" si="48"/>
        <v>6</v>
      </c>
      <c r="DB220" s="232" t="str">
        <f t="shared" si="49"/>
        <v>PORTER</v>
      </c>
      <c r="DC220" s="232" t="str">
        <f t="shared" si="49"/>
        <v>D.U.P.</v>
      </c>
      <c r="DD220" s="233">
        <f t="shared" si="49"/>
        <v>687</v>
      </c>
      <c r="DE220" s="233">
        <f t="shared" ref="DE220:DF220" si="58">N66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N67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N68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N69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N70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N71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N72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N73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N74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N75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N76</f>
        <v>0</v>
      </c>
      <c r="DF230" s="233">
        <f t="shared" si="69"/>
        <v>0</v>
      </c>
    </row>
    <row r="231" spans="105:110" ht="15.5" x14ac:dyDescent="0.35">
      <c r="DC231" s="234" t="s">
        <v>123</v>
      </c>
      <c r="DD231" s="234"/>
      <c r="DE231" s="233">
        <f t="shared" ref="DE231:DF231" si="70">N77</f>
        <v>0</v>
      </c>
      <c r="DF231" s="233">
        <f t="shared" si="70"/>
        <v>0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 t="shared" ref="DF232" si="71">O78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O80" name="Range20"/>
    <protectedRange sqref="AQ5" name="Range3_1"/>
  </protectedRanges>
  <mergeCells count="128">
    <mergeCell ref="T53:U53"/>
    <mergeCell ref="V53:W53"/>
    <mergeCell ref="N55:O55"/>
    <mergeCell ref="P55:Q55"/>
    <mergeCell ref="R55:S55"/>
    <mergeCell ref="BX30:BY32"/>
    <mergeCell ref="CB31:CE32"/>
    <mergeCell ref="Z6:AF7"/>
    <mergeCell ref="AL3:AQ3"/>
    <mergeCell ref="AL28:AQ29"/>
    <mergeCell ref="AL31:AQ32"/>
    <mergeCell ref="AJ25:AK25"/>
    <mergeCell ref="AJ24:AK24"/>
    <mergeCell ref="AO24:AP24"/>
    <mergeCell ref="AO25:AP25"/>
    <mergeCell ref="U50:W50"/>
    <mergeCell ref="U4:W4"/>
    <mergeCell ref="BF30:BG32"/>
    <mergeCell ref="BI30:BK31"/>
    <mergeCell ref="AJ20:AK20"/>
    <mergeCell ref="AZ22:AZ23"/>
    <mergeCell ref="AJ22:AK22"/>
    <mergeCell ref="AJ23:AK23"/>
    <mergeCell ref="AJ21:AK21"/>
    <mergeCell ref="T54:U54"/>
    <mergeCell ref="V54:W54"/>
    <mergeCell ref="N54:O54"/>
    <mergeCell ref="P54:Q54"/>
    <mergeCell ref="R54:S54"/>
    <mergeCell ref="F54:G54"/>
    <mergeCell ref="H54:I54"/>
    <mergeCell ref="T55:U55"/>
    <mergeCell ref="V55:W55"/>
    <mergeCell ref="F53:G53"/>
    <mergeCell ref="F55:G55"/>
    <mergeCell ref="H55:I55"/>
    <mergeCell ref="J55:K55"/>
    <mergeCell ref="L55:M55"/>
    <mergeCell ref="O48:S48"/>
    <mergeCell ref="O49:S49"/>
    <mergeCell ref="O50:S50"/>
    <mergeCell ref="J54:K54"/>
    <mergeCell ref="L54:M54"/>
    <mergeCell ref="N52:O52"/>
    <mergeCell ref="E49:F49"/>
    <mergeCell ref="H49:I49"/>
    <mergeCell ref="K49:L49"/>
    <mergeCell ref="AO22:AP22"/>
    <mergeCell ref="AO23:AP23"/>
    <mergeCell ref="E4:F4"/>
    <mergeCell ref="F6:G6"/>
    <mergeCell ref="H6:I6"/>
    <mergeCell ref="F7:G7"/>
    <mergeCell ref="H7:I7"/>
    <mergeCell ref="P52:Q52"/>
    <mergeCell ref="R52:S52"/>
    <mergeCell ref="F52:G52"/>
    <mergeCell ref="H52:I52"/>
    <mergeCell ref="J52:K52"/>
    <mergeCell ref="L52:M52"/>
    <mergeCell ref="K47:L47"/>
    <mergeCell ref="T52:U52"/>
    <mergeCell ref="V52:W52"/>
    <mergeCell ref="AO20:AP20"/>
    <mergeCell ref="AO21:AP21"/>
    <mergeCell ref="AK6:AP7"/>
    <mergeCell ref="T6:U6"/>
    <mergeCell ref="T7:U7"/>
    <mergeCell ref="T8:U8"/>
    <mergeCell ref="AL13:AL17"/>
    <mergeCell ref="AO13:AO17"/>
    <mergeCell ref="K1:L1"/>
    <mergeCell ref="H3:I3"/>
    <mergeCell ref="O4:S4"/>
    <mergeCell ref="O3:S3"/>
    <mergeCell ref="H4:I4"/>
    <mergeCell ref="P6:Q6"/>
    <mergeCell ref="H53:I53"/>
    <mergeCell ref="J53:K53"/>
    <mergeCell ref="L53:M53"/>
    <mergeCell ref="N53:O53"/>
    <mergeCell ref="P53:Q53"/>
    <mergeCell ref="R53:S53"/>
    <mergeCell ref="O2:S2"/>
    <mergeCell ref="N7:O7"/>
    <mergeCell ref="R9:S9"/>
    <mergeCell ref="P8:Q8"/>
    <mergeCell ref="P7:Q7"/>
    <mergeCell ref="E3:F3"/>
    <mergeCell ref="V7:W7"/>
    <mergeCell ref="AK9:AP10"/>
    <mergeCell ref="V8:W8"/>
    <mergeCell ref="L8:M8"/>
    <mergeCell ref="N8:O8"/>
    <mergeCell ref="F8:G8"/>
    <mergeCell ref="H8:I8"/>
    <mergeCell ref="J8:K8"/>
    <mergeCell ref="V6:W6"/>
    <mergeCell ref="J6:K6"/>
    <mergeCell ref="J7:K7"/>
    <mergeCell ref="L6:M6"/>
    <mergeCell ref="N6:O6"/>
    <mergeCell ref="L7:M7"/>
    <mergeCell ref="T9:U9"/>
    <mergeCell ref="DE209:DF209"/>
    <mergeCell ref="Z2:AF2"/>
    <mergeCell ref="AN13:AN19"/>
    <mergeCell ref="F9:G9"/>
    <mergeCell ref="H9:I9"/>
    <mergeCell ref="J9:K9"/>
    <mergeCell ref="L9:M9"/>
    <mergeCell ref="N9:O9"/>
    <mergeCell ref="P9:Q9"/>
    <mergeCell ref="R8:S8"/>
    <mergeCell ref="R7:S7"/>
    <mergeCell ref="R6:S6"/>
    <mergeCell ref="Z3:AF3"/>
    <mergeCell ref="AM13:AM17"/>
    <mergeCell ref="CB2:CE2"/>
    <mergeCell ref="BI3:BK3"/>
    <mergeCell ref="BI2:BK2"/>
    <mergeCell ref="BT3:BZ3"/>
    <mergeCell ref="AQ13:AQ17"/>
    <mergeCell ref="AP13:AP17"/>
    <mergeCell ref="BP5:BP7"/>
    <mergeCell ref="AQ6:AR7"/>
    <mergeCell ref="AQ9:AR10"/>
    <mergeCell ref="Z4:AF4"/>
  </mergeCells>
  <phoneticPr fontId="0" type="noConversion"/>
  <conditionalFormatting sqref="AL3">
    <cfRule type="cellIs" dxfId="41" priority="1" stopIfTrue="1" operator="notEqual">
      <formula>0</formula>
    </cfRule>
  </conditionalFormatting>
  <conditionalFormatting sqref="BF30:BG31">
    <cfRule type="cellIs" dxfId="40" priority="2" stopIfTrue="1" operator="equal">
      <formula>"NONE"</formula>
    </cfRule>
    <cfRule type="cellIs" dxfId="39" priority="3" stopIfTrue="1" operator="notEqual">
      <formula>"NONE"</formula>
    </cfRule>
  </conditionalFormatting>
  <conditionalFormatting sqref="BX30">
    <cfRule type="cellIs" dxfId="38" priority="4" stopIfTrue="1" operator="equal">
      <formula>"Calculations OK"</formula>
    </cfRule>
    <cfRule type="cellIs" dxfId="37" priority="5" stopIfTrue="1" operator="equal">
      <formula>"Check Count for Error"</formula>
    </cfRule>
  </conditionalFormatting>
  <conditionalFormatting sqref="V50:W50 V4:W4">
    <cfRule type="cellIs" dxfId="36" priority="6" stopIfTrue="1" operator="equal">
      <formula>"Totals Correct"</formula>
    </cfRule>
    <cfRule type="cellIs" dxfId="35" priority="7" stopIfTrue="1" operator="equal">
      <formula>"ERROR"</formula>
    </cfRule>
  </conditionalFormatting>
  <conditionalFormatting sqref="U50 U4">
    <cfRule type="cellIs" dxfId="34" priority="8" stopIfTrue="1" operator="equal">
      <formula>"OK TO MOVE TO NEXT STAGE"</formula>
    </cfRule>
    <cfRule type="cellIs" dxfId="33" priority="9" stopIfTrue="1" operator="equal">
      <formula>"DO NOT MOVE TO NEXT STAGE"</formula>
    </cfRule>
  </conditionalFormatting>
  <hyperlinks>
    <hyperlink ref="Z6:AF7" location="'Stage 13'!A83:W83" display="BACK to Overview of STAGE 13"/>
    <hyperlink ref="AL28" location="'Stage 2'!BI1" display="MOVE TO TRANSFER OF SURPLUS VOTES FORM"/>
    <hyperlink ref="AL31" location="'Stage 2'!CC1" display="MOVE TO EXCLUDE CANDIDATE FORM"/>
    <hyperlink ref="AL28:AQ29" location="'Stage 14'!AY1:BK1" display="MOVE TO TRANSFER OF SURPLUS VOTES FORM"/>
    <hyperlink ref="AL31:AQ32" location="'Stage 14'!BN1:CE1" display="MOVE TO EXCLUDE CANDIDATE FORM"/>
    <hyperlink ref="BI3:BK3" location="'Stage 14'!Y1:AR1" display="BACK to DECISION FORM"/>
    <hyperlink ref="BI30:BK31" location="'Stage 14'!A83:W83" display="FORWARD to OVERVIEW OF STAGE 14"/>
    <hyperlink ref="CB2" location="'Stage 2'!AQ5" display="MOVE TO NEXT FORM"/>
    <hyperlink ref="CB2:CE2" location="'Stage 14'!Y1:AR1" display="BACK to DECISION FORM"/>
    <hyperlink ref="CB31" location="'Stage 2'!A1" display="HOME TO OVERVIEW OF STAGE 2"/>
    <hyperlink ref="CB31:CE32" location="'Stage 14'!A83:W83" display="FORWARD to OVERVIEW OF STAGE 14"/>
    <hyperlink ref="O50" location="'Stage 3'!A1" display="MOVE TO STAGE 3"/>
    <hyperlink ref="O48" location="'Stage 3'!A1" display="MOVE TO STAGE 3"/>
    <hyperlink ref="O48:S48" location="'Stage 14'!Y1:AR1" display="BACK to DECISION FORM Stage 14"/>
    <hyperlink ref="O50:S50" location="'Stage 15'!Y1:AR1" display="FORWARD TO STAGE 15"/>
    <hyperlink ref="O4" location="'Stage 3'!A1" display="MOVE TO STAGE 3"/>
    <hyperlink ref="O2" location="'Stage 3'!A1" display="MOVE TO STAGE 3"/>
    <hyperlink ref="O2:S2" location="'Stage 14'!Y1:AR1" display="BACK to DECISION FORM Stage 14"/>
    <hyperlink ref="O4:S4" location="'Stage 15'!Y1:AR1" display="FORWARD TO STAGE 15"/>
    <hyperlink ref="O3:S3" location="'Stage 14'!A83:W83" display="OVERVIEW OF STAGES 10 - 14"/>
    <hyperlink ref="O49:S49" location="'Stage 14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F232"/>
  <sheetViews>
    <sheetView showGridLines="0" showZeros="0" zoomScale="75" workbookViewId="0">
      <selection activeCell="F54" sqref="F54:G5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9" customWidth="1"/>
    <col min="25" max="25" width="4.0898437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54296875" customWidth="1"/>
    <col min="43" max="43" width="10.6328125" customWidth="1"/>
    <col min="44" max="44" width="16.90625" customWidth="1"/>
    <col min="45" max="45" width="223" customWidth="1"/>
    <col min="50" max="50" width="223.906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21.3632812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283</v>
      </c>
      <c r="J1" s="85" t="s">
        <v>37</v>
      </c>
      <c r="K1" s="319">
        <f>'Basic Input'!C2</f>
        <v>45064</v>
      </c>
      <c r="L1" s="319"/>
      <c r="Z1" s="10" t="s">
        <v>309</v>
      </c>
      <c r="AQ1" s="33"/>
      <c r="AZ1" s="10" t="s">
        <v>126</v>
      </c>
      <c r="BE1" s="34" t="str">
        <f>IF(AT5="T","COMPLETE THIS FORM","YOU HAVE NOT SELECTED TO COMPLETE THIS FORM")</f>
        <v>YOU HAVE NOT SELECTED TO COMPLETE THIS FORM</v>
      </c>
      <c r="BR1" s="10" t="s">
        <v>127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310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I2" s="313"/>
      <c r="BJ2" s="313"/>
      <c r="BK2" s="313"/>
      <c r="BR2" s="36" t="s">
        <v>283</v>
      </c>
      <c r="CB2" s="345" t="s">
        <v>131</v>
      </c>
      <c r="CC2" s="346"/>
      <c r="CD2" s="346"/>
      <c r="CE2" s="347"/>
    </row>
    <row r="3" spans="1:105" ht="18.5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76" t="s">
        <v>311</v>
      </c>
      <c r="P3" s="377"/>
      <c r="Q3" s="377"/>
      <c r="R3" s="377"/>
      <c r="S3" s="378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0</v>
      </c>
      <c r="AJ3" s="163"/>
      <c r="AK3" s="163"/>
      <c r="AL3" s="352">
        <f>IF(AQ5="n","MOVE TO EXCLUDE CANDIDATE FORM",IF(AQ5="y","MOVE TO TRANSFER OF SURPLUS VOTES FORM",0))</f>
        <v>0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L3" s="114"/>
      <c r="BR3" s="81" t="s">
        <v>133</v>
      </c>
      <c r="BS3" s="82"/>
      <c r="BT3" s="348"/>
      <c r="BU3" s="349"/>
      <c r="BV3" s="349"/>
      <c r="BW3" s="349"/>
      <c r="BX3" s="349"/>
      <c r="BY3" s="349"/>
      <c r="BZ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312</v>
      </c>
      <c r="P4" s="346"/>
      <c r="Q4" s="346"/>
      <c r="R4" s="346"/>
      <c r="S4" s="347"/>
      <c r="U4" s="311" t="str">
        <f>IF(Q79="ERROR","DO NOT MOVE TO NEXT STAGE","OK TO MOVE TO NEXT STAGE")</f>
        <v>DO NOT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IF(C57=0,0,IF(O57=0,"Excluded",0))</f>
        <v>Excluded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27" t="s">
        <v>313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Transfer</v>
      </c>
      <c r="AR6" s="302"/>
      <c r="AS6" s="181"/>
      <c r="AT6" s="91"/>
      <c r="AU6" s="91"/>
      <c r="AW6" s="33"/>
      <c r="AX6" s="33"/>
      <c r="AZ6" s="36" t="s">
        <v>283</v>
      </c>
      <c r="BA6" s="245"/>
      <c r="BE6" s="61" t="str">
        <f>'Verification of Boxes'!J11</f>
        <v>FLYNN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4" si="2">IF(C58=0,0,IF(O58=0,"Excluded",0))</f>
        <v>Excluded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Exclude</v>
      </c>
      <c r="U7" s="362"/>
      <c r="V7" s="361">
        <f>'Stage 10'!V7:W7</f>
        <v>0</v>
      </c>
      <c r="W7" s="362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EWING</v>
      </c>
      <c r="G8" s="364"/>
      <c r="H8" s="359" t="str">
        <f>'Stage 3'!H8:I8</f>
        <v xml:space="preserve"> MCEVOY</v>
      </c>
      <c r="I8" s="360"/>
      <c r="J8" s="359" t="str">
        <f>'Stage 4'!J8:K8</f>
        <v>GREHAN</v>
      </c>
      <c r="K8" s="360"/>
      <c r="L8" s="359" t="str">
        <f>'Stage 5'!L8:M8</f>
        <v>GIVAN</v>
      </c>
      <c r="M8" s="360"/>
      <c r="N8" s="359" t="str">
        <f>'Stage 6'!N8:O8</f>
        <v>FRENCH</v>
      </c>
      <c r="O8" s="360"/>
      <c r="P8" s="359" t="str">
        <f>'Stage 7'!P8:Q8</f>
        <v>FLYNN</v>
      </c>
      <c r="Q8" s="360"/>
      <c r="R8" s="359" t="str">
        <f>'Stage 8'!R8:S8</f>
        <v>KENNEDY</v>
      </c>
      <c r="S8" s="360"/>
      <c r="T8" s="359" t="str">
        <f>'Stage 9'!T8:U8</f>
        <v>PALMER</v>
      </c>
      <c r="U8" s="360"/>
      <c r="V8" s="359">
        <f>'Stage 10'!V8:W8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GIVAN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EWING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115" t="s">
        <v>112</v>
      </c>
      <c r="W9" s="116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Transfer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7">
        <f t="shared" si="3"/>
        <v>0</v>
      </c>
      <c r="BP9" s="66"/>
      <c r="BR9" s="9" t="str">
        <f>'Verification of Boxes'!J11</f>
        <v>FLYNN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113</v>
      </c>
      <c r="B10" s="18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KENNEDY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FRENCH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14'!B57</f>
        <v>1</v>
      </c>
      <c r="C11" s="30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>'Stage 3'!H11</f>
        <v>0</v>
      </c>
      <c r="I11" s="135">
        <f>'Stage 3'!I11</f>
        <v>1071</v>
      </c>
      <c r="J11" s="71">
        <f>'Stage 4'!J11</f>
        <v>0</v>
      </c>
      <c r="K11" s="135">
        <f>'Stage 4'!K11</f>
        <v>1071</v>
      </c>
      <c r="L11" s="71">
        <f>'Stage 5'!L11</f>
        <v>0</v>
      </c>
      <c r="M11" s="135">
        <f>'Stage 5'!M11</f>
        <v>1071</v>
      </c>
      <c r="N11" s="71">
        <f>'Stage 6'!N11</f>
        <v>0</v>
      </c>
      <c r="O11" s="135">
        <f>'Stage 6'!O11</f>
        <v>1071</v>
      </c>
      <c r="P11" s="71">
        <f>'Stage 7'!P11</f>
        <v>0</v>
      </c>
      <c r="Q11" s="135">
        <f>'Stage 7'!Q11</f>
        <v>1071</v>
      </c>
      <c r="R11" s="71">
        <f>'Stage 8'!R11</f>
        <v>0</v>
      </c>
      <c r="S11" s="135">
        <f>'Stage 8'!S11</f>
        <v>1071</v>
      </c>
      <c r="T11" s="71">
        <f>'Stage 9'!T11</f>
        <v>0</v>
      </c>
      <c r="U11" s="135">
        <f>'Stage 9'!U11</f>
        <v>1071</v>
      </c>
      <c r="V11" s="71">
        <f>'Stage 10'!V11</f>
        <v>0</v>
      </c>
      <c r="W11" s="135">
        <f>'Stage 10'!W11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Excluded</v>
      </c>
      <c r="B12" s="235">
        <f>'Stage 14'!B58</f>
        <v>0</v>
      </c>
      <c r="C12" s="31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>'Stage 3'!H12</f>
        <v>1</v>
      </c>
      <c r="I12" s="135">
        <f>'Stage 3'!I12</f>
        <v>494.42</v>
      </c>
      <c r="J12" s="71">
        <f>'Stage 4'!J12</f>
        <v>0.48</v>
      </c>
      <c r="K12" s="135">
        <f>'Stage 4'!K12</f>
        <v>494.90000000000003</v>
      </c>
      <c r="L12" s="71">
        <f>'Stage 5'!L12</f>
        <v>0.04</v>
      </c>
      <c r="M12" s="135">
        <f>'Stage 5'!M12</f>
        <v>494.94000000000005</v>
      </c>
      <c r="N12" s="71">
        <f>'Stage 6'!N12</f>
        <v>176.15</v>
      </c>
      <c r="O12" s="135">
        <f>'Stage 6'!O12</f>
        <v>671.09</v>
      </c>
      <c r="P12" s="71">
        <f>'Stage 7'!P12</f>
        <v>-671.09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MITCHELL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14'!B59</f>
        <v>0</v>
      </c>
      <c r="C13" s="31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>'Stage 3'!H13</f>
        <v>4</v>
      </c>
      <c r="I13" s="135">
        <f>'Stage 3'!I13</f>
        <v>476.42</v>
      </c>
      <c r="J13" s="71">
        <f>'Stage 4'!J13</f>
        <v>0.89999999999999991</v>
      </c>
      <c r="K13" s="135">
        <f>'Stage 4'!K13</f>
        <v>477.32</v>
      </c>
      <c r="L13" s="71">
        <f>'Stage 5'!L13</f>
        <v>0.02</v>
      </c>
      <c r="M13" s="135">
        <f>'Stage 5'!M13</f>
        <v>477.34</v>
      </c>
      <c r="N13" s="71">
        <f>'Stage 6'!N13</f>
        <v>-477.34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115</v>
      </c>
      <c r="AA13" s="124" t="s">
        <v>168</v>
      </c>
      <c r="AB13" s="16"/>
      <c r="AC13" s="16" t="s">
        <v>169</v>
      </c>
      <c r="AD13" s="18"/>
      <c r="AE13" s="16" t="s">
        <v>170</v>
      </c>
      <c r="AF13" s="18" t="s">
        <v>171</v>
      </c>
      <c r="AG13" s="14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/>
      <c r="BE13" s="61" t="str">
        <f>'Verification of Boxes'!J18</f>
        <v>PALMER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KENNEDY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14'!B60</f>
        <v>3</v>
      </c>
      <c r="C14" s="31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>'Stage 3'!H14</f>
        <v>0</v>
      </c>
      <c r="I14" s="135">
        <f>'Stage 3'!I14</f>
        <v>1089.5999999999999</v>
      </c>
      <c r="J14" s="71">
        <f>'Stage 4'!J14</f>
        <v>0</v>
      </c>
      <c r="K14" s="135">
        <f>'Stage 4'!K14</f>
        <v>1089.5999999999999</v>
      </c>
      <c r="L14" s="71">
        <f>'Stage 5'!L14</f>
        <v>-18.599999999999909</v>
      </c>
      <c r="M14" s="135">
        <f>'Stage 5'!M14</f>
        <v>1071</v>
      </c>
      <c r="N14" s="71">
        <f>'Stage 6'!N14</f>
        <v>0</v>
      </c>
      <c r="O14" s="135">
        <f>'Stage 6'!O14</f>
        <v>1071</v>
      </c>
      <c r="P14" s="71">
        <f>'Stage 7'!P14</f>
        <v>0</v>
      </c>
      <c r="Q14" s="135">
        <f>'Stage 7'!Q14</f>
        <v>1071</v>
      </c>
      <c r="R14" s="71">
        <f>'Stage 8'!R14</f>
        <v>0</v>
      </c>
      <c r="S14" s="135">
        <f>'Stage 8'!S14</f>
        <v>1071</v>
      </c>
      <c r="T14" s="71">
        <f>'Stage 9'!T14</f>
        <v>0</v>
      </c>
      <c r="U14" s="135">
        <f>'Stage 9'!U14</f>
        <v>1071</v>
      </c>
      <c r="V14" s="71">
        <f>'Stage 10'!V14</f>
        <v>0</v>
      </c>
      <c r="W14" s="135">
        <f>'Stage 10'!W14</f>
        <v>0</v>
      </c>
      <c r="Z14" s="92" t="str">
        <f>'Verification of Boxes'!J10</f>
        <v>EWING</v>
      </c>
      <c r="AA14" s="93">
        <f>O57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/>
      <c r="BE14" s="61" t="str">
        <f>'Verification of Boxes'!J19</f>
        <v>PORTER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14'!B61</f>
        <v>2</v>
      </c>
      <c r="C15" s="31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>'Stage 3'!H15</f>
        <v>0</v>
      </c>
      <c r="I15" s="135">
        <f>'Stage 3'!I15</f>
        <v>1111</v>
      </c>
      <c r="J15" s="71">
        <f>'Stage 4'!J15</f>
        <v>-40</v>
      </c>
      <c r="K15" s="135">
        <f>'Stage 4'!K15</f>
        <v>1071</v>
      </c>
      <c r="L15" s="71">
        <f>'Stage 5'!L15</f>
        <v>0</v>
      </c>
      <c r="M15" s="135">
        <f>'Stage 5'!M15</f>
        <v>1071</v>
      </c>
      <c r="N15" s="71">
        <f>'Stage 6'!N15</f>
        <v>0</v>
      </c>
      <c r="O15" s="135">
        <f>'Stage 6'!O15</f>
        <v>1071</v>
      </c>
      <c r="P15" s="71">
        <f>'Stage 7'!P15</f>
        <v>0</v>
      </c>
      <c r="Q15" s="135">
        <f>'Stage 7'!Q15</f>
        <v>1071</v>
      </c>
      <c r="R15" s="71">
        <f>'Stage 8'!R15</f>
        <v>0</v>
      </c>
      <c r="S15" s="135">
        <f>'Stage 8'!S15</f>
        <v>1071</v>
      </c>
      <c r="T15" s="71">
        <f>'Stage 9'!T15</f>
        <v>0</v>
      </c>
      <c r="U15" s="135">
        <f>'Stage 9'!U15</f>
        <v>1071</v>
      </c>
      <c r="V15" s="71">
        <f>'Stage 10'!V15</f>
        <v>0</v>
      </c>
      <c r="W15" s="135">
        <f>'Stage 10'!W15</f>
        <v>0</v>
      </c>
      <c r="Z15" s="95" t="str">
        <f>'Verification of Boxes'!J11</f>
        <v>FLYNN</v>
      </c>
      <c r="AA15" s="37">
        <f t="shared" ref="AA15:AA33" si="16">O58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MITCHELL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Elected</v>
      </c>
      <c r="B16" s="235">
        <f>'Stage 14'!B62</f>
        <v>4</v>
      </c>
      <c r="C16" s="31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>'Stage 3'!H16</f>
        <v>3.06</v>
      </c>
      <c r="I16" s="135">
        <f>'Stage 3'!I16</f>
        <v>677.3</v>
      </c>
      <c r="J16" s="71">
        <f>'Stage 4'!J16</f>
        <v>30.029999999999998</v>
      </c>
      <c r="K16" s="135">
        <f>'Stage 4'!K16</f>
        <v>707.32999999999993</v>
      </c>
      <c r="L16" s="71">
        <f>'Stage 5'!L16</f>
        <v>0.22</v>
      </c>
      <c r="M16" s="135">
        <f>'Stage 5'!M16</f>
        <v>707.55</v>
      </c>
      <c r="N16" s="71">
        <f>'Stage 6'!N16</f>
        <v>241.72</v>
      </c>
      <c r="O16" s="135">
        <f>'Stage 6'!O16</f>
        <v>949.27</v>
      </c>
      <c r="P16" s="71">
        <f>'Stage 7'!P16</f>
        <v>375</v>
      </c>
      <c r="Q16" s="135">
        <f>'Stage 7'!Q16</f>
        <v>1324.27</v>
      </c>
      <c r="R16" s="71">
        <f>'Stage 8'!R16</f>
        <v>-253.26999999999998</v>
      </c>
      <c r="S16" s="135">
        <f>'Stage 8'!S16</f>
        <v>1071</v>
      </c>
      <c r="T16" s="71">
        <f>'Stage 9'!T16</f>
        <v>0</v>
      </c>
      <c r="U16" s="135">
        <f>'Stage 9'!U16</f>
        <v>1071</v>
      </c>
      <c r="V16" s="71">
        <f>'Stage 10'!V16</f>
        <v>0</v>
      </c>
      <c r="W16" s="135">
        <f>'Stage 10'!W16</f>
        <v>0</v>
      </c>
      <c r="Z16" s="95" t="str">
        <f>'Verification of Boxes'!J12</f>
        <v>FRENCH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PALMER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14'!B63</f>
        <v>0</v>
      </c>
      <c r="C17" s="31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>'Stage 3'!H17</f>
        <v>-388.44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GIVAN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 t="str">
        <f>'Verification of Boxes'!J19</f>
        <v>PORTER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14'!B64</f>
        <v>5</v>
      </c>
      <c r="C18" s="31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>'Stage 3'!H18</f>
        <v>91.42</v>
      </c>
      <c r="I18" s="135">
        <f>'Stage 3'!I18</f>
        <v>962.86</v>
      </c>
      <c r="J18" s="71">
        <f>'Stage 4'!J18</f>
        <v>0.72</v>
      </c>
      <c r="K18" s="135">
        <f>'Stage 4'!K18</f>
        <v>963.58</v>
      </c>
      <c r="L18" s="71">
        <f>'Stage 5'!L18</f>
        <v>1.54</v>
      </c>
      <c r="M18" s="135">
        <f>'Stage 5'!M18</f>
        <v>965.12</v>
      </c>
      <c r="N18" s="71">
        <f>'Stage 6'!N18</f>
        <v>6</v>
      </c>
      <c r="O18" s="135">
        <f>'Stage 6'!O18</f>
        <v>971.12</v>
      </c>
      <c r="P18" s="71">
        <f>'Stage 7'!P18</f>
        <v>36.170000000000009</v>
      </c>
      <c r="Q18" s="135">
        <f>'Stage 7'!Q18</f>
        <v>1007.29</v>
      </c>
      <c r="R18" s="71">
        <f>'Stage 8'!R18</f>
        <v>58</v>
      </c>
      <c r="S18" s="135">
        <f>'Stage 8'!S18</f>
        <v>1065.29</v>
      </c>
      <c r="T18" s="71">
        <f>'Stage 9'!T18</f>
        <v>0</v>
      </c>
      <c r="U18" s="135">
        <f>'Stage 9'!U18</f>
        <v>1065.29</v>
      </c>
      <c r="V18" s="71">
        <f>'Stage 10'!V18</f>
        <v>0</v>
      </c>
      <c r="W18" s="135">
        <f>'Stage 10'!W18</f>
        <v>0</v>
      </c>
      <c r="Z18" s="95" t="str">
        <f>'Verification of Boxes'!J14</f>
        <v>GREHAN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14'!B65</f>
        <v>0</v>
      </c>
      <c r="C19" s="31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>'Stage 3'!H19</f>
        <v>64.48</v>
      </c>
      <c r="I19" s="135">
        <f>'Stage 3'!I19</f>
        <v>692.9</v>
      </c>
      <c r="J19" s="71">
        <f>'Stage 4'!J19</f>
        <v>0.69</v>
      </c>
      <c r="K19" s="135">
        <f>'Stage 4'!K19</f>
        <v>693.59</v>
      </c>
      <c r="L19" s="71">
        <f>'Stage 5'!L19</f>
        <v>0.68</v>
      </c>
      <c r="M19" s="135">
        <f>'Stage 5'!M19</f>
        <v>694.27</v>
      </c>
      <c r="N19" s="71">
        <f>'Stage 6'!N19</f>
        <v>12.15</v>
      </c>
      <c r="O19" s="135">
        <f>'Stage 6'!O19</f>
        <v>706.42</v>
      </c>
      <c r="P19" s="71">
        <f>'Stage 7'!P19</f>
        <v>21.06</v>
      </c>
      <c r="Q19" s="135">
        <f>'Stage 7'!Q19</f>
        <v>727.4799999999999</v>
      </c>
      <c r="R19" s="71">
        <f>'Stage 8'!R19</f>
        <v>18</v>
      </c>
      <c r="S19" s="135">
        <f>'Stage 8'!S19</f>
        <v>745.4799999999999</v>
      </c>
      <c r="T19" s="71">
        <f>'Stage 9'!T19</f>
        <v>-745.4799999999999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KENNEDY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14'!B66</f>
        <v>6</v>
      </c>
      <c r="C20" s="31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>'Stage 3'!H20</f>
        <v>204.42</v>
      </c>
      <c r="I20" s="135">
        <f>'Stage 3'!I20</f>
        <v>900.42</v>
      </c>
      <c r="J20" s="71">
        <f>'Stage 4'!J20</f>
        <v>0.39</v>
      </c>
      <c r="K20" s="135">
        <f>'Stage 4'!K20</f>
        <v>900.81</v>
      </c>
      <c r="L20" s="71">
        <f>'Stage 5'!L20</f>
        <v>14.34</v>
      </c>
      <c r="M20" s="135">
        <f>'Stage 5'!M20</f>
        <v>915.15</v>
      </c>
      <c r="N20" s="71">
        <f>'Stage 6'!N20</f>
        <v>6</v>
      </c>
      <c r="O20" s="135">
        <f>'Stage 6'!O20</f>
        <v>921.15</v>
      </c>
      <c r="P20" s="71">
        <f>'Stage 7'!P20</f>
        <v>10.08</v>
      </c>
      <c r="Q20" s="135">
        <f>'Stage 7'!Q20</f>
        <v>931.23</v>
      </c>
      <c r="R20" s="71">
        <f>'Stage 8'!R20</f>
        <v>6</v>
      </c>
      <c r="S20" s="135">
        <f>'Stage 8'!S20</f>
        <v>937.23</v>
      </c>
      <c r="T20" s="71">
        <f>'Stage 9'!T20</f>
        <v>0</v>
      </c>
      <c r="U20" s="135">
        <f>'Stage 9'!U20</f>
        <v>937.23</v>
      </c>
      <c r="V20" s="71">
        <f>'Stage 10'!V20</f>
        <v>0</v>
      </c>
      <c r="W20" s="135">
        <f>'Stage 10'!W20</f>
        <v>0</v>
      </c>
      <c r="Z20" s="95" t="str">
        <f>'Verification of Boxes'!J16</f>
        <v>MCEVOY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39" t="s">
        <v>184</v>
      </c>
      <c r="AK20" s="340"/>
      <c r="AL20" s="142">
        <f>AL46</f>
        <v>1000000</v>
      </c>
      <c r="AM20" s="118"/>
      <c r="AN20" s="142">
        <f>AL20+AG2</f>
        <v>1000000</v>
      </c>
      <c r="AO20" s="334">
        <f>IF(AN20&gt;AG4,0,IF(AN20&lt;AL21,"Exclude lowest candidate",0))</f>
        <v>0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14'!B67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MITCHELL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41" t="s">
        <v>185</v>
      </c>
      <c r="AK21" s="293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14'!B68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PALMER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41" t="s">
        <v>185</v>
      </c>
      <c r="AK22" s="293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14'!B69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 t="str">
        <f>'Verification of Boxes'!J19</f>
        <v>PORTER</v>
      </c>
      <c r="AA23" s="37">
        <f t="shared" si="16"/>
        <v>0</v>
      </c>
      <c r="AB23" s="5"/>
      <c r="AC23" s="100">
        <f t="shared" si="13"/>
        <v>0</v>
      </c>
      <c r="AD23" s="110"/>
      <c r="AE23" s="5" t="str">
        <f t="shared" si="17"/>
        <v>excluded</v>
      </c>
      <c r="AF23" s="5">
        <f t="shared" si="14"/>
        <v>0</v>
      </c>
      <c r="AG23" s="96">
        <f t="shared" si="15"/>
        <v>0</v>
      </c>
      <c r="AJ23" s="341" t="s">
        <v>185</v>
      </c>
      <c r="AK23" s="293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14'!B70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41" t="s">
        <v>185</v>
      </c>
      <c r="AK24" s="293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189</v>
      </c>
      <c r="BA24" s="3" t="s">
        <v>190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14'!B71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55" t="s">
        <v>185</v>
      </c>
      <c r="AK25" s="35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0</v>
      </c>
      <c r="BE25" s="61" t="s">
        <v>193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14'!B72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194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14'!B73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14'!B74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123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14'!B75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30"/>
      <c r="AM29" s="331"/>
      <c r="AN29" s="331"/>
      <c r="AO29" s="331"/>
      <c r="AP29" s="331"/>
      <c r="AQ29" s="332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0</v>
      </c>
      <c r="BR29" s="5" t="s">
        <v>200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14'!B76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314</v>
      </c>
      <c r="BJ30" s="328"/>
      <c r="BK30" s="329"/>
      <c r="BX30" s="333" t="str">
        <f>IF(BW31=BW69,"Calculations OK","Check Count for Error")</f>
        <v>Calculations OK</v>
      </c>
      <c r="BY30" s="333"/>
    </row>
    <row r="31" spans="1:83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1">
        <f>'Stage 3'!H31</f>
        <v>20.059999999999999</v>
      </c>
      <c r="I31" s="135">
        <f>'Stage 3'!I31</f>
        <v>20.079999999999995</v>
      </c>
      <c r="J31" s="71">
        <f>'Stage 4'!J31</f>
        <v>6.7899999999999991</v>
      </c>
      <c r="K31" s="135">
        <f>'Stage 4'!K31</f>
        <v>26.869999999999994</v>
      </c>
      <c r="L31" s="71">
        <f>'Stage 5'!L31</f>
        <v>1.7599999999999092</v>
      </c>
      <c r="M31" s="135">
        <f>'Stage 5'!M31</f>
        <v>28.629999999999903</v>
      </c>
      <c r="N31" s="71">
        <f>'Stage 6'!N31</f>
        <v>35.320000000000007</v>
      </c>
      <c r="O31" s="135">
        <f>'Stage 6'!O31</f>
        <v>63.94999999999991</v>
      </c>
      <c r="P31" s="71">
        <f>'Stage 7'!P31</f>
        <v>228.78</v>
      </c>
      <c r="Q31" s="135">
        <f>'Stage 7'!Q31</f>
        <v>292.7299999999999</v>
      </c>
      <c r="R31" s="71">
        <f>'Stage 8'!R31</f>
        <v>171.26999999999998</v>
      </c>
      <c r="S31" s="135">
        <f>'Stage 8'!S31</f>
        <v>463.99999999999989</v>
      </c>
      <c r="T31" s="71">
        <f>'Stage 9'!T31</f>
        <v>0</v>
      </c>
      <c r="U31" s="135">
        <f>'Stage 9'!U31</f>
        <v>463.99999999999989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203</v>
      </c>
      <c r="BA31" s="3" t="s">
        <v>204</v>
      </c>
      <c r="BB31" s="3"/>
      <c r="BC31" s="50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V31" t="s">
        <v>119</v>
      </c>
      <c r="BW31" s="5">
        <f>BT29+BV29+BX29+BZ29+CB29+CD29</f>
        <v>0</v>
      </c>
      <c r="BX31" s="311"/>
      <c r="BY31" s="311"/>
      <c r="BZ31" s="5">
        <f>BW69-BW31</f>
        <v>0</v>
      </c>
      <c r="CB31" s="327" t="s">
        <v>314</v>
      </c>
      <c r="CC31" s="328"/>
      <c r="CD31" s="328"/>
      <c r="CE31" s="32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1"/>
      <c r="I32" s="135">
        <f>'Stage 3'!I32</f>
        <v>7496</v>
      </c>
      <c r="J32" s="192"/>
      <c r="K32" s="135">
        <f>'Stage 4'!K32</f>
        <v>7495.9999999999991</v>
      </c>
      <c r="L32" s="192"/>
      <c r="M32" s="135">
        <f>'Stage 5'!M32</f>
        <v>7495.9999999999991</v>
      </c>
      <c r="N32" s="192"/>
      <c r="O32" s="135">
        <f>'Stage 6'!O32</f>
        <v>7496</v>
      </c>
      <c r="P32" s="192"/>
      <c r="Q32" s="135">
        <f>'Stage 7'!Q32</f>
        <v>7496</v>
      </c>
      <c r="R32" s="192"/>
      <c r="S32" s="135">
        <f>'Stage 8'!S32</f>
        <v>7496</v>
      </c>
      <c r="T32" s="192"/>
      <c r="U32" s="135">
        <f>'Stage 9'!U32</f>
        <v>6750.52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30"/>
      <c r="AM32" s="331"/>
      <c r="AN32" s="331"/>
      <c r="AO32" s="331"/>
      <c r="AP32" s="331"/>
      <c r="AQ32" s="332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11"/>
      <c r="BG32" s="311"/>
      <c r="BX32" s="311"/>
      <c r="BY32" s="311"/>
      <c r="CB32" s="330"/>
      <c r="CC32" s="331"/>
      <c r="CD32" s="331"/>
      <c r="CE32" s="332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5">
        <f>'Stage 3'!I34</f>
        <v>0</v>
      </c>
      <c r="J34" s="219"/>
      <c r="K34" s="185">
        <f>'Stage 4'!K34</f>
        <v>0</v>
      </c>
      <c r="L34" s="219"/>
      <c r="M34" s="185">
        <f>'Stage 5'!M34</f>
        <v>0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0.77361111111111114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EWING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FLYNN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1:75" x14ac:dyDescent="0.25">
      <c r="Z46" s="253" t="str">
        <v>FRENCH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212</v>
      </c>
    </row>
    <row r="47" spans="1:75" ht="18.5" thickBot="1" x14ac:dyDescent="0.45">
      <c r="A47" s="76" t="str">
        <f>'Verification of Boxes'!B1</f>
        <v>Local Council Elections 2023</v>
      </c>
      <c r="F47" s="10" t="s">
        <v>283</v>
      </c>
      <c r="J47" s="85" t="s">
        <v>37</v>
      </c>
      <c r="K47" s="319">
        <f>'Basic Input'!C2</f>
        <v>45064</v>
      </c>
      <c r="L47" s="319"/>
      <c r="Z47" s="253" t="str">
        <v>GIVAN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1.5" customHeight="1" thickBot="1" x14ac:dyDescent="0.45">
      <c r="A48" s="10" t="str">
        <f>'Verification of Boxes'!A3</f>
        <v>District Electoral Area of</v>
      </c>
      <c r="D48" s="10" t="str">
        <f>'Verification of Boxes'!B3</f>
        <v>Lisburn South</v>
      </c>
      <c r="O48" s="345" t="s">
        <v>310</v>
      </c>
      <c r="P48" s="346"/>
      <c r="Q48" s="346"/>
      <c r="R48" s="346"/>
      <c r="S48" s="347"/>
      <c r="Z48" s="253" t="str">
        <v>GREHAN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EWING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W48" t="s">
        <v>218</v>
      </c>
    </row>
    <row r="49" spans="1:75" ht="20.25" customHeight="1" thickBot="1" x14ac:dyDescent="0.35">
      <c r="C49" s="3" t="s">
        <v>96</v>
      </c>
      <c r="D49" s="68">
        <f>'Verification of Boxes'!L2</f>
        <v>16838</v>
      </c>
      <c r="E49" s="306" t="s">
        <v>62</v>
      </c>
      <c r="F49" s="307"/>
      <c r="G49" s="131">
        <f>'Verification of Boxes'!G3</f>
        <v>6</v>
      </c>
      <c r="H49" s="306" t="s">
        <v>97</v>
      </c>
      <c r="I49" s="307"/>
      <c r="J49" s="131">
        <f>'Verification of Boxes'!L33</f>
        <v>99</v>
      </c>
      <c r="K49" s="306" t="s">
        <v>98</v>
      </c>
      <c r="L49" s="307"/>
      <c r="M49" s="131">
        <f>'Verification of Boxes'!G4</f>
        <v>1071</v>
      </c>
      <c r="O49" s="376" t="s">
        <v>279</v>
      </c>
      <c r="P49" s="377"/>
      <c r="Q49" s="377"/>
      <c r="R49" s="377"/>
      <c r="S49" s="378"/>
      <c r="Z49" s="253" t="str">
        <v>KENNEDY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FLYNN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EWING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28.5" customHeight="1" thickBot="1" x14ac:dyDescent="0.45">
      <c r="A50" s="10"/>
      <c r="C50" s="3" t="s">
        <v>99</v>
      </c>
      <c r="D50" s="131">
        <f>'Verification of Boxes'!L3</f>
        <v>7595</v>
      </c>
      <c r="E50" s="161" t="s">
        <v>100</v>
      </c>
      <c r="F50" s="160"/>
      <c r="G50" s="67">
        <f>D50-J49</f>
        <v>7496</v>
      </c>
      <c r="H50" s="161" t="s">
        <v>101</v>
      </c>
      <c r="I50" s="160"/>
      <c r="J50" s="132">
        <f>'Verification of Boxes'!L5</f>
        <v>45.106307162370825</v>
      </c>
      <c r="O50" s="345" t="s">
        <v>312</v>
      </c>
      <c r="P50" s="346"/>
      <c r="Q50" s="346"/>
      <c r="R50" s="346"/>
      <c r="S50" s="347"/>
      <c r="U50" s="311" t="str">
        <f>IF(Q79="ERROR","DO NOT MOVE TO NEXT STAGE","OK TO MOVE TO NEXT STAGE")</f>
        <v>DO NOT MOVE TO NEXT STAGE</v>
      </c>
      <c r="V50" s="311"/>
      <c r="W50" s="311"/>
      <c r="Z50" s="253" t="str">
        <v>MCEVOY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FRENCH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FLYNN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MITCHELL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GIVAN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FRENCH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94</v>
      </c>
      <c r="F52" s="288" t="s">
        <v>111</v>
      </c>
      <c r="G52" s="290"/>
      <c r="H52" s="288" t="s">
        <v>272</v>
      </c>
      <c r="I52" s="290"/>
      <c r="J52" s="288" t="s">
        <v>280</v>
      </c>
      <c r="K52" s="290"/>
      <c r="L52" s="288" t="s">
        <v>281</v>
      </c>
      <c r="M52" s="290"/>
      <c r="N52" s="288" t="s">
        <v>282</v>
      </c>
      <c r="O52" s="290"/>
      <c r="P52" s="288" t="s">
        <v>283</v>
      </c>
      <c r="Q52" s="290"/>
      <c r="R52" s="288" t="s">
        <v>284</v>
      </c>
      <c r="S52" s="290"/>
      <c r="T52" s="288" t="s">
        <v>285</v>
      </c>
      <c r="U52" s="290"/>
      <c r="V52" s="288" t="s">
        <v>286</v>
      </c>
      <c r="W52" s="290"/>
      <c r="Z52" s="253" t="str">
        <v>PALMER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GREHAN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GIVAN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IF($AT5=0,0,IF($AT5="T",$AZ7,$BR4))</f>
        <v>0</v>
      </c>
      <c r="Q53" s="362"/>
      <c r="R53" s="361"/>
      <c r="S53" s="362"/>
      <c r="T53" s="361"/>
      <c r="U53" s="362"/>
      <c r="V53" s="361"/>
      <c r="W53" s="362"/>
      <c r="Z53" s="253" t="str">
        <v>PORTER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KENNEDY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GREHAN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59">
        <f>IF($P53="Transfer",$BA8,$BT3)</f>
        <v>0</v>
      </c>
      <c r="Q54" s="360"/>
      <c r="R54" s="359"/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MCEVOY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KENNEDY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8" t="s">
        <v>112</v>
      </c>
      <c r="G55" s="290"/>
      <c r="H55" s="288" t="s">
        <v>112</v>
      </c>
      <c r="I55" s="290"/>
      <c r="J55" s="288" t="s">
        <v>112</v>
      </c>
      <c r="K55" s="290"/>
      <c r="L55" s="288" t="s">
        <v>112</v>
      </c>
      <c r="M55" s="290"/>
      <c r="N55" s="288" t="s">
        <v>112</v>
      </c>
      <c r="O55" s="290"/>
      <c r="P55" s="288" t="s">
        <v>112</v>
      </c>
      <c r="Q55" s="290"/>
      <c r="R55" s="288" t="s">
        <v>112</v>
      </c>
      <c r="S55" s="290"/>
      <c r="T55" s="288" t="s">
        <v>112</v>
      </c>
      <c r="U55" s="290"/>
      <c r="V55" s="288" t="s">
        <v>112</v>
      </c>
      <c r="W55" s="290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MITCHELL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MCEVOY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113</v>
      </c>
      <c r="B56" s="18" t="s">
        <v>114</v>
      </c>
      <c r="C56" s="16" t="s">
        <v>115</v>
      </c>
      <c r="D56" s="32" t="s">
        <v>116</v>
      </c>
      <c r="E56" s="1" t="s">
        <v>117</v>
      </c>
      <c r="F56" s="115"/>
      <c r="G56" s="116" t="s">
        <v>83</v>
      </c>
      <c r="H56" s="136"/>
      <c r="I56" s="137" t="s">
        <v>83</v>
      </c>
      <c r="J56" s="134"/>
      <c r="K56" s="137" t="s">
        <v>83</v>
      </c>
      <c r="L56" s="134"/>
      <c r="M56" s="137" t="s">
        <v>83</v>
      </c>
      <c r="N56" s="136"/>
      <c r="O56" s="137" t="s">
        <v>83</v>
      </c>
      <c r="P56" s="136"/>
      <c r="Q56" s="137" t="s">
        <v>83</v>
      </c>
      <c r="R56" s="136"/>
      <c r="S56" s="137" t="s">
        <v>83</v>
      </c>
      <c r="T56" s="136"/>
      <c r="U56" s="137" t="s">
        <v>83</v>
      </c>
      <c r="V56" s="136"/>
      <c r="W56" s="137" t="s">
        <v>83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PALMER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MITCHELL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14'!A57&lt;&gt;0,'Stage 14'!A57,IF(Q57&gt;=$M$3,"Elected",IF(BP8&lt;&gt;0,"Excluded",0)))</f>
        <v>Elected</v>
      </c>
      <c r="B57" s="235">
        <f>'Stage 14'!B57</f>
        <v>1</v>
      </c>
      <c r="C57" s="29" t="str">
        <f>'Verification of Boxes'!J10</f>
        <v>EWING</v>
      </c>
      <c r="D57" s="152" t="str">
        <f>'Verification of Boxes'!K10</f>
        <v>D.U.P.</v>
      </c>
      <c r="E57" s="108">
        <f>'Verification of Boxes'!L10</f>
        <v>1139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159">
        <f t="shared" ref="P57:P76" si="42">IF($C57&lt;&gt;0,$BK49,0)</f>
        <v>0</v>
      </c>
      <c r="Q57" s="39">
        <f t="shared" ref="Q57:Q77" si="43">IF(P$54=0,0,O57+P57)</f>
        <v>0</v>
      </c>
      <c r="R57" s="157"/>
      <c r="S57" s="37"/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PORTER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PALMER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14'!A58&lt;&gt;0,'Stage 14'!A58,IF(Q58&gt;=$M$3,"Elected",IF(BP9&lt;&gt;0,"Excluded",0)))</f>
        <v>Excluded</v>
      </c>
      <c r="B58" s="235">
        <f>'Stage 14'!B58</f>
        <v>0</v>
      </c>
      <c r="C58" s="20" t="str">
        <f>'Verification of Boxes'!J11</f>
        <v>FLYNN</v>
      </c>
      <c r="D58" s="153" t="str">
        <f>'Verification of Boxes'!K11</f>
        <v>Sinn Féin</v>
      </c>
      <c r="E58" s="109">
        <f>'Verification of Boxes'!L11</f>
        <v>493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159">
        <f t="shared" si="42"/>
        <v>0</v>
      </c>
      <c r="Q58" s="39">
        <f t="shared" si="43"/>
        <v>0</v>
      </c>
      <c r="R58" s="157"/>
      <c r="S58" s="37"/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PORTER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14'!A59&lt;&gt;0,'Stage 14'!A59,IF(Q59&gt;=$M$3,"Elected",IF(BP10&lt;&gt;0,"Excluded",0)))</f>
        <v>Excluded</v>
      </c>
      <c r="B59" s="235">
        <f>'Stage 14'!B59</f>
        <v>0</v>
      </c>
      <c r="C59" s="20" t="str">
        <f>'Verification of Boxes'!J12</f>
        <v>FRENCH</v>
      </c>
      <c r="D59" s="153" t="str">
        <f>'Verification of Boxes'!K12</f>
        <v xml:space="preserve">SDLP </v>
      </c>
      <c r="E59" s="109">
        <f>'Verification of Boxes'!L12</f>
        <v>472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159">
        <f t="shared" si="42"/>
        <v>0</v>
      </c>
      <c r="Q59" s="39">
        <f t="shared" si="43"/>
        <v>0</v>
      </c>
      <c r="R59" s="157"/>
      <c r="S59" s="37"/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14'!A60&lt;&gt;0,'Stage 14'!A60,IF(Q60&gt;=$M$3,"Elected",IF(BP11&lt;&gt;0,"Excluded",0)))</f>
        <v>Elected</v>
      </c>
      <c r="B60" s="235">
        <f>'Stage 14'!B60</f>
        <v>3</v>
      </c>
      <c r="C60" s="20" t="str">
        <f>'Verification of Boxes'!J13</f>
        <v>GIVAN</v>
      </c>
      <c r="D60" s="153" t="str">
        <f>'Verification of Boxes'!K13</f>
        <v>D.U.P.</v>
      </c>
      <c r="E60" s="109">
        <f>'Verification of Boxes'!L13</f>
        <v>1038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159">
        <f t="shared" si="42"/>
        <v>0</v>
      </c>
      <c r="Q60" s="39">
        <f t="shared" si="43"/>
        <v>0</v>
      </c>
      <c r="R60" s="157"/>
      <c r="S60" s="37"/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14'!A61&lt;&gt;0,'Stage 14'!A61,IF(Q61&gt;=$M$3,"Elected",IF(BP12&lt;&gt;0,"Excluded",0)))</f>
        <v>Elected</v>
      </c>
      <c r="B61" s="235">
        <f>'Stage 14'!B61</f>
        <v>2</v>
      </c>
      <c r="C61" s="20" t="str">
        <f>'Verification of Boxes'!J14</f>
        <v>GREHAN</v>
      </c>
      <c r="D61" s="153" t="str">
        <f>'Verification of Boxes'!K14</f>
        <v>Alliance Party</v>
      </c>
      <c r="E61" s="109">
        <f>'Verification of Boxes'!L14</f>
        <v>1111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159">
        <f t="shared" si="42"/>
        <v>0</v>
      </c>
      <c r="Q61" s="39">
        <f t="shared" si="43"/>
        <v>0</v>
      </c>
      <c r="R61" s="157"/>
      <c r="S61" s="37"/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14'!A62&lt;&gt;0,'Stage 14'!A62,IF(Q62&gt;=$M$3,"Elected",IF(BP13&lt;&gt;0,"Excluded",0)))</f>
        <v>Elected</v>
      </c>
      <c r="B62" s="235">
        <f>'Stage 14'!B62</f>
        <v>4</v>
      </c>
      <c r="C62" s="20" t="str">
        <f>'Verification of Boxes'!J15</f>
        <v>KENNEDY</v>
      </c>
      <c r="D62" s="153" t="str">
        <f>'Verification of Boxes'!K15</f>
        <v>Alliance Party</v>
      </c>
      <c r="E62" s="109">
        <f>'Verification of Boxes'!L15</f>
        <v>674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159">
        <f t="shared" si="42"/>
        <v>0</v>
      </c>
      <c r="Q62" s="39">
        <f t="shared" si="43"/>
        <v>0</v>
      </c>
      <c r="R62" s="157"/>
      <c r="S62" s="37"/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14'!A63&lt;&gt;0,'Stage 14'!A63,IF(Q63&gt;=$M$3,"Elected",IF(BP14&lt;&gt;0,"Excluded",0)))</f>
        <v>Excluded</v>
      </c>
      <c r="B63" s="235">
        <f>'Stage 14'!B63</f>
        <v>0</v>
      </c>
      <c r="C63" s="20" t="str">
        <f>'Verification of Boxes'!J16</f>
        <v>MCEVOY</v>
      </c>
      <c r="D63" s="153" t="str">
        <f>'Verification of Boxes'!K16</f>
        <v xml:space="preserve">TUV </v>
      </c>
      <c r="E63" s="109">
        <f>'Verification of Boxes'!L16</f>
        <v>387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159">
        <f t="shared" si="42"/>
        <v>0</v>
      </c>
      <c r="Q63" s="39">
        <f t="shared" si="43"/>
        <v>0</v>
      </c>
      <c r="R63" s="157"/>
      <c r="S63" s="37"/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>
        <f>IF('Stage 14'!A64&lt;&gt;0,'Stage 14'!A64,IF(Q64&gt;=$M$3,"Elected",IF(BP15&lt;&gt;0,"Excluded",0)))</f>
        <v>0</v>
      </c>
      <c r="B64" s="235">
        <f>'Stage 14'!B64</f>
        <v>5</v>
      </c>
      <c r="C64" s="20" t="str">
        <f>'Verification of Boxes'!J17</f>
        <v>MITCHELL</v>
      </c>
      <c r="D64" s="153" t="str">
        <f>'Verification of Boxes'!K17</f>
        <v>UUP</v>
      </c>
      <c r="E64" s="109">
        <f>'Verification of Boxes'!L17</f>
        <v>870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159">
        <f t="shared" si="42"/>
        <v>0</v>
      </c>
      <c r="Q64" s="39">
        <f t="shared" si="43"/>
        <v>0</v>
      </c>
      <c r="R64" s="157"/>
      <c r="S64" s="37"/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14'!A65&lt;&gt;0,'Stage 14'!A65,IF(Q65&gt;=$M$3,"Elected",IF(BP16&lt;&gt;0,"Excluded",0)))</f>
        <v>Excluded</v>
      </c>
      <c r="B65" s="235">
        <f>'Stage 14'!B65</f>
        <v>0</v>
      </c>
      <c r="C65" s="20" t="str">
        <f>'Verification of Boxes'!J18</f>
        <v>PALMER</v>
      </c>
      <c r="D65" s="153" t="str">
        <f>'Verification of Boxes'!K18</f>
        <v>UUP</v>
      </c>
      <c r="E65" s="109">
        <f>'Verification of Boxes'!L18</f>
        <v>625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159">
        <f t="shared" si="42"/>
        <v>0</v>
      </c>
      <c r="Q65" s="39">
        <f t="shared" si="43"/>
        <v>0</v>
      </c>
      <c r="R65" s="157"/>
      <c r="S65" s="37"/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14'!A66&lt;&gt;0,'Stage 14'!A66,IF(Q66&gt;=$M$3,"Elected",IF(BP17&lt;&gt;0,"Excluded",0)))</f>
        <v>0</v>
      </c>
      <c r="B66" s="235">
        <f>'Stage 14'!B66</f>
        <v>6</v>
      </c>
      <c r="C66" s="20" t="str">
        <f>'Verification of Boxes'!J19</f>
        <v>PORTER</v>
      </c>
      <c r="D66" s="153" t="str">
        <f>'Verification of Boxes'!K19</f>
        <v>D.U.P.</v>
      </c>
      <c r="E66" s="109">
        <f>'Verification of Boxes'!L19</f>
        <v>687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159">
        <f t="shared" si="42"/>
        <v>0</v>
      </c>
      <c r="Q66" s="39">
        <f t="shared" si="43"/>
        <v>0</v>
      </c>
      <c r="R66" s="157"/>
      <c r="S66" s="37"/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14'!A67&lt;&gt;0,'Stage 14'!A67,IF(Q67&gt;=$M$3,"Elected",IF(BP18&lt;&gt;0,"Excluded",0)))</f>
        <v>0</v>
      </c>
      <c r="B67" s="235">
        <f>'Stage 14'!B67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159">
        <f t="shared" si="42"/>
        <v>0</v>
      </c>
      <c r="Q67" s="39">
        <f t="shared" si="43"/>
        <v>0</v>
      </c>
      <c r="R67" s="157"/>
      <c r="S67" s="37"/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14'!A68&lt;&gt;0,'Stage 14'!A68,IF(Q68&gt;=$M$3,"Elected",IF(BP19&lt;&gt;0,"Excluded",0)))</f>
        <v>0</v>
      </c>
      <c r="B68" s="235">
        <f>'Stage 14'!B68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159">
        <f t="shared" si="42"/>
        <v>0</v>
      </c>
      <c r="Q68" s="39">
        <f t="shared" si="43"/>
        <v>0</v>
      </c>
      <c r="R68" s="157"/>
      <c r="S68" s="37"/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14'!A69&lt;&gt;0,'Stage 14'!A69,IF(Q69&gt;=$M$3,"Elected",IF(BP20&lt;&gt;0,"Excluded",0)))</f>
        <v>0</v>
      </c>
      <c r="B69" s="235">
        <f>'Stage 14'!B69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159">
        <f t="shared" si="42"/>
        <v>0</v>
      </c>
      <c r="Q69" s="39">
        <f t="shared" si="43"/>
        <v>0</v>
      </c>
      <c r="R69" s="157"/>
      <c r="S69" s="37"/>
      <c r="T69" s="157"/>
      <c r="U69" s="37"/>
      <c r="V69" s="157"/>
      <c r="W69" s="37"/>
      <c r="BG69" t="s">
        <v>219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14'!A70&lt;&gt;0,'Stage 14'!A70,IF(Q70&gt;=$M$3,"Elected",IF(BP21&lt;&gt;0,"Excluded",0)))</f>
        <v>0</v>
      </c>
      <c r="B70" s="235">
        <f>'Stage 14'!B70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159">
        <f t="shared" si="42"/>
        <v>0</v>
      </c>
      <c r="Q70" s="39">
        <f t="shared" si="43"/>
        <v>0</v>
      </c>
      <c r="R70" s="157"/>
      <c r="S70" s="37"/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14'!A71&lt;&gt;0,'Stage 14'!A71,IF(Q71&gt;=$M$3,"Elected",IF(BP22&lt;&gt;0,"Excluded",0)))</f>
        <v>0</v>
      </c>
      <c r="B71" s="235">
        <f>'Stage 14'!B71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159">
        <f t="shared" si="42"/>
        <v>0</v>
      </c>
      <c r="Q71" s="39">
        <f t="shared" si="43"/>
        <v>0</v>
      </c>
      <c r="R71" s="157"/>
      <c r="S71" s="37"/>
      <c r="T71" s="157"/>
      <c r="U71" s="37"/>
      <c r="V71" s="157"/>
      <c r="W71" s="37"/>
    </row>
    <row r="72" spans="1:75" ht="13" thickBot="1" x14ac:dyDescent="0.3">
      <c r="A72" s="20">
        <f>IF('Stage 14'!A72&lt;&gt;0,'Stage 14'!A72,IF(Q72&gt;=$M$3,"Elected",IF(BP23&lt;&gt;0,"Excluded",0)))</f>
        <v>0</v>
      </c>
      <c r="B72" s="235">
        <f>'Stage 14'!B72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159">
        <f t="shared" si="42"/>
        <v>0</v>
      </c>
      <c r="Q72" s="39">
        <f t="shared" si="43"/>
        <v>0</v>
      </c>
      <c r="R72" s="157"/>
      <c r="S72" s="37"/>
      <c r="T72" s="157"/>
      <c r="U72" s="37"/>
      <c r="V72" s="157"/>
      <c r="W72" s="37"/>
    </row>
    <row r="73" spans="1:75" ht="13" thickBot="1" x14ac:dyDescent="0.3">
      <c r="A73" s="20">
        <f>IF('Stage 14'!A73&lt;&gt;0,'Stage 14'!A73,IF(Q73&gt;=$M$3,"Elected",IF(BP24&lt;&gt;0,"Excluded",0)))</f>
        <v>0</v>
      </c>
      <c r="B73" s="235">
        <f>'Stage 14'!B73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159">
        <f t="shared" si="42"/>
        <v>0</v>
      </c>
      <c r="Q73" s="39">
        <f t="shared" si="43"/>
        <v>0</v>
      </c>
      <c r="R73" s="157"/>
      <c r="S73" s="37"/>
      <c r="T73" s="157"/>
      <c r="U73" s="37"/>
      <c r="V73" s="157"/>
      <c r="W73" s="37"/>
    </row>
    <row r="74" spans="1:75" ht="13" thickBot="1" x14ac:dyDescent="0.3">
      <c r="A74" s="20">
        <f>IF('Stage 14'!A74&lt;&gt;0,'Stage 14'!A74,IF(Q74&gt;=$M$3,"Elected",IF(BP25&lt;&gt;0,"Excluded",0)))</f>
        <v>0</v>
      </c>
      <c r="B74" s="235">
        <f>'Stage 14'!B74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159">
        <f t="shared" si="42"/>
        <v>0</v>
      </c>
      <c r="Q74" s="39">
        <f t="shared" si="43"/>
        <v>0</v>
      </c>
      <c r="R74" s="157"/>
      <c r="S74" s="37"/>
      <c r="T74" s="157"/>
      <c r="U74" s="37"/>
      <c r="V74" s="157"/>
      <c r="W74" s="37"/>
    </row>
    <row r="75" spans="1:75" ht="13" thickBot="1" x14ac:dyDescent="0.3">
      <c r="A75" s="20">
        <f>IF('Stage 14'!A75&lt;&gt;0,'Stage 14'!A75,IF(Q75&gt;=$M$3,"Elected",IF(BP26&lt;&gt;0,"Excluded",0)))</f>
        <v>0</v>
      </c>
      <c r="B75" s="235">
        <f>'Stage 14'!B75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159">
        <f t="shared" si="42"/>
        <v>0</v>
      </c>
      <c r="Q75" s="39">
        <f t="shared" si="43"/>
        <v>0</v>
      </c>
      <c r="R75" s="157"/>
      <c r="S75" s="37"/>
      <c r="T75" s="157"/>
      <c r="U75" s="37"/>
      <c r="V75" s="157"/>
      <c r="W75" s="37"/>
    </row>
    <row r="76" spans="1:75" ht="13" thickBot="1" x14ac:dyDescent="0.3">
      <c r="A76" s="21">
        <f>IF('Stage 14'!A76&lt;&gt;0,'Stage 14'!A76,IF(Q76&gt;=$M$3,"Elected",IF(BP27&lt;&gt;0,"Excluded",0)))</f>
        <v>0</v>
      </c>
      <c r="B76" s="235">
        <f>'Stage 14'!B76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159">
        <f t="shared" si="42"/>
        <v>0</v>
      </c>
      <c r="Q76" s="39">
        <f t="shared" si="43"/>
        <v>0</v>
      </c>
      <c r="R76" s="157"/>
      <c r="S76" s="37"/>
      <c r="T76" s="157"/>
      <c r="U76" s="37"/>
      <c r="V76" s="157"/>
      <c r="W76" s="37"/>
    </row>
    <row r="77" spans="1:75" ht="13" thickBot="1" x14ac:dyDescent="0.3">
      <c r="D77" s="25" t="s">
        <v>118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$BK69</f>
        <v>0</v>
      </c>
      <c r="Q77" s="41">
        <f t="shared" si="43"/>
        <v>0</v>
      </c>
      <c r="R77" s="157"/>
      <c r="S77" s="37"/>
      <c r="T77" s="157"/>
      <c r="U77" s="37"/>
      <c r="V77" s="157"/>
      <c r="W77" s="37"/>
    </row>
    <row r="78" spans="1:75" ht="13" thickBot="1" x14ac:dyDescent="0.3">
      <c r="D78" s="42" t="s">
        <v>119</v>
      </c>
      <c r="E78" s="45">
        <f>SUM(E57:E76)</f>
        <v>7496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50">
        <f>SUM(Q57:Q77)</f>
        <v>0</v>
      </c>
      <c r="R78" s="202"/>
      <c r="S78" s="37"/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t="str">
        <f>IF(Q78=$G50,"Totals Correct","ERROR")</f>
        <v>ERROR</v>
      </c>
    </row>
    <row r="80" spans="1:75" ht="13" thickBot="1" x14ac:dyDescent="0.3">
      <c r="D80" s="42" t="s">
        <v>120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20"/>
      <c r="Q80" s="183"/>
      <c r="R80" s="219"/>
      <c r="S80" s="185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315</v>
      </c>
      <c r="DF210" s="231" t="s">
        <v>221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P57</f>
        <v>0</v>
      </c>
      <c r="DF211" s="233">
        <f>Q57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FLYNN</v>
      </c>
      <c r="DC212" s="232" t="str">
        <f t="shared" si="49"/>
        <v>Sinn Féin</v>
      </c>
      <c r="DD212" s="233">
        <f t="shared" si="49"/>
        <v>493</v>
      </c>
      <c r="DE212" s="233">
        <f t="shared" ref="DE212:DF212" si="50">P58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FRENCH</v>
      </c>
      <c r="DC213" s="232" t="str">
        <f t="shared" si="49"/>
        <v xml:space="preserve">SDLP </v>
      </c>
      <c r="DD213" s="233">
        <f t="shared" si="49"/>
        <v>472</v>
      </c>
      <c r="DE213" s="233">
        <f t="shared" ref="DE213:DF213" si="51">P59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GIVAN</v>
      </c>
      <c r="DC214" s="232" t="str">
        <f t="shared" si="49"/>
        <v>D.U.P.</v>
      </c>
      <c r="DD214" s="233">
        <f t="shared" si="49"/>
        <v>1038</v>
      </c>
      <c r="DE214" s="233">
        <f t="shared" ref="DE214:DF214" si="52">P60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E2</v>
      </c>
      <c r="DB215" s="232" t="str">
        <f t="shared" si="49"/>
        <v>GREHAN</v>
      </c>
      <c r="DC215" s="232" t="str">
        <f t="shared" si="49"/>
        <v>Alliance Party</v>
      </c>
      <c r="DD215" s="233">
        <f t="shared" si="49"/>
        <v>1111</v>
      </c>
      <c r="DE215" s="233">
        <f t="shared" ref="DE215:DF215" si="53">P61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E4</v>
      </c>
      <c r="DB216" s="232" t="str">
        <f t="shared" si="49"/>
        <v>KENNEDY</v>
      </c>
      <c r="DC216" s="232" t="str">
        <f t="shared" si="49"/>
        <v>Alliance Party</v>
      </c>
      <c r="DD216" s="233">
        <f t="shared" si="49"/>
        <v>674</v>
      </c>
      <c r="DE216" s="233">
        <f t="shared" ref="DE216:DF216" si="54">P62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MCEVOY</v>
      </c>
      <c r="DC217" s="232" t="str">
        <f t="shared" si="49"/>
        <v xml:space="preserve">TUV </v>
      </c>
      <c r="DD217" s="233">
        <f t="shared" si="49"/>
        <v>387</v>
      </c>
      <c r="DE217" s="233">
        <f t="shared" ref="DE217:DF217" si="55">P63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5</v>
      </c>
      <c r="DB218" s="232" t="str">
        <f t="shared" si="49"/>
        <v>MITCHELL</v>
      </c>
      <c r="DC218" s="232" t="str">
        <f t="shared" si="49"/>
        <v>UUP</v>
      </c>
      <c r="DD218" s="233">
        <f t="shared" si="49"/>
        <v>870</v>
      </c>
      <c r="DE218" s="233">
        <f t="shared" ref="DE218:DF218" si="56">P64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PALMER</v>
      </c>
      <c r="DC219" s="232" t="str">
        <f t="shared" si="49"/>
        <v>UUP</v>
      </c>
      <c r="DD219" s="233">
        <f t="shared" si="49"/>
        <v>625</v>
      </c>
      <c r="DE219" s="233">
        <f t="shared" ref="DE219:DF219" si="57">P65</f>
        <v>0</v>
      </c>
      <c r="DF219" s="233">
        <f t="shared" si="57"/>
        <v>0</v>
      </c>
    </row>
    <row r="220" spans="105:110" ht="15.5" x14ac:dyDescent="0.35">
      <c r="DA220" s="232" t="str">
        <f t="shared" si="48"/>
        <v>6</v>
      </c>
      <c r="DB220" s="232" t="str">
        <f t="shared" si="49"/>
        <v>PORTER</v>
      </c>
      <c r="DC220" s="232" t="str">
        <f t="shared" si="49"/>
        <v>D.U.P.</v>
      </c>
      <c r="DD220" s="233">
        <f t="shared" si="49"/>
        <v>687</v>
      </c>
      <c r="DE220" s="233">
        <f t="shared" ref="DE220:DF220" si="58">P66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P67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P68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P69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P70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P71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P72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P73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P74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P75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P76</f>
        <v>0</v>
      </c>
      <c r="DF230" s="233">
        <f t="shared" si="69"/>
        <v>0</v>
      </c>
    </row>
    <row r="231" spans="105:110" ht="15.5" x14ac:dyDescent="0.35">
      <c r="DC231" s="234" t="s">
        <v>123</v>
      </c>
      <c r="DD231" s="234"/>
      <c r="DE231" s="233">
        <f t="shared" ref="DE231:DF231" si="70">P77</f>
        <v>0</v>
      </c>
      <c r="DF231" s="233">
        <f t="shared" si="70"/>
        <v>0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 t="shared" ref="DF232" si="71">Q78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Q80" name="Range20"/>
    <protectedRange sqref="AQ5" name="Range3_1"/>
  </protectedRanges>
  <mergeCells count="128">
    <mergeCell ref="CB31:CE32"/>
    <mergeCell ref="BF30:BG32"/>
    <mergeCell ref="AO25:AP25"/>
    <mergeCell ref="BI30:BK31"/>
    <mergeCell ref="AQ6:AR7"/>
    <mergeCell ref="V7:W7"/>
    <mergeCell ref="AL28:AQ29"/>
    <mergeCell ref="AL31:AQ32"/>
    <mergeCell ref="AJ25:AK25"/>
    <mergeCell ref="AJ24:AK24"/>
    <mergeCell ref="AO23:AP23"/>
    <mergeCell ref="AO24:AP24"/>
    <mergeCell ref="BX30:BY32"/>
    <mergeCell ref="P9:Q9"/>
    <mergeCell ref="R9:S9"/>
    <mergeCell ref="CB2:CE2"/>
    <mergeCell ref="BI3:BK3"/>
    <mergeCell ref="BI2:BK2"/>
    <mergeCell ref="BT3:BZ3"/>
    <mergeCell ref="BP5:BP7"/>
    <mergeCell ref="H6:I6"/>
    <mergeCell ref="F7:G7"/>
    <mergeCell ref="H7:I7"/>
    <mergeCell ref="F8:G8"/>
    <mergeCell ref="H8:I8"/>
    <mergeCell ref="L7:M7"/>
    <mergeCell ref="N6:O6"/>
    <mergeCell ref="N7:O7"/>
    <mergeCell ref="N8:O8"/>
    <mergeCell ref="P8:Q8"/>
    <mergeCell ref="P7:Q7"/>
    <mergeCell ref="P6:Q6"/>
    <mergeCell ref="F6:G6"/>
    <mergeCell ref="AL3:AQ3"/>
    <mergeCell ref="T7:U7"/>
    <mergeCell ref="T8:U8"/>
    <mergeCell ref="V6:W6"/>
    <mergeCell ref="U4:W4"/>
    <mergeCell ref="Z2:AF2"/>
    <mergeCell ref="K1:L1"/>
    <mergeCell ref="H3:I3"/>
    <mergeCell ref="O4:S4"/>
    <mergeCell ref="O3:S3"/>
    <mergeCell ref="H4:I4"/>
    <mergeCell ref="AK9:AP10"/>
    <mergeCell ref="Z3:AF3"/>
    <mergeCell ref="J8:K8"/>
    <mergeCell ref="J6:K6"/>
    <mergeCell ref="J7:K7"/>
    <mergeCell ref="Z4:AF4"/>
    <mergeCell ref="Z6:AF7"/>
    <mergeCell ref="AK6:AP7"/>
    <mergeCell ref="R8:S8"/>
    <mergeCell ref="R7:S7"/>
    <mergeCell ref="R6:S6"/>
    <mergeCell ref="L8:M8"/>
    <mergeCell ref="L6:M6"/>
    <mergeCell ref="H9:I9"/>
    <mergeCell ref="J9:K9"/>
    <mergeCell ref="L9:M9"/>
    <mergeCell ref="N9:O9"/>
    <mergeCell ref="V52:W52"/>
    <mergeCell ref="T53:U53"/>
    <mergeCell ref="E3:F3"/>
    <mergeCell ref="E4:F4"/>
    <mergeCell ref="F9:G9"/>
    <mergeCell ref="O2:S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M13:AM17"/>
    <mergeCell ref="AO13:AO17"/>
    <mergeCell ref="AQ13:AQ17"/>
    <mergeCell ref="AP13:AP17"/>
    <mergeCell ref="AQ9:AR10"/>
    <mergeCell ref="T9:U9"/>
    <mergeCell ref="AL13:AL17"/>
    <mergeCell ref="AN13:AN19"/>
    <mergeCell ref="V8:W8"/>
    <mergeCell ref="T6:U6"/>
    <mergeCell ref="K47:L47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J55:K55"/>
    <mergeCell ref="K49:L49"/>
    <mergeCell ref="O48:S48"/>
    <mergeCell ref="N55:O55"/>
    <mergeCell ref="P55:Q55"/>
    <mergeCell ref="J53:K53"/>
    <mergeCell ref="L53:M53"/>
    <mergeCell ref="J52:K52"/>
    <mergeCell ref="L52:M52"/>
    <mergeCell ref="DE209:DF209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9:S49"/>
    <mergeCell ref="O50:S50"/>
    <mergeCell ref="V53:W53"/>
    <mergeCell ref="U50:W50"/>
    <mergeCell ref="F53:G53"/>
    <mergeCell ref="H53:I53"/>
    <mergeCell ref="F52:G52"/>
    <mergeCell ref="H52:I52"/>
    <mergeCell ref="F55:G55"/>
    <mergeCell ref="H55:I55"/>
    <mergeCell ref="T55:U55"/>
    <mergeCell ref="V55:W55"/>
    <mergeCell ref="T52:U52"/>
  </mergeCells>
  <phoneticPr fontId="0" type="noConversion"/>
  <conditionalFormatting sqref="AL3">
    <cfRule type="cellIs" dxfId="32" priority="1" stopIfTrue="1" operator="notEqual">
      <formula>0</formula>
    </cfRule>
  </conditionalFormatting>
  <conditionalFormatting sqref="BF30:BG31">
    <cfRule type="cellIs" dxfId="31" priority="2" stopIfTrue="1" operator="equal">
      <formula>"NONE"</formula>
    </cfRule>
    <cfRule type="cellIs" dxfId="30" priority="3" stopIfTrue="1" operator="notEqual">
      <formula>"NONE"</formula>
    </cfRule>
  </conditionalFormatting>
  <conditionalFormatting sqref="BX30">
    <cfRule type="cellIs" dxfId="29" priority="4" stopIfTrue="1" operator="equal">
      <formula>"Calculations OK"</formula>
    </cfRule>
    <cfRule type="cellIs" dxfId="28" priority="5" stopIfTrue="1" operator="equal">
      <formula>"Check Count for Error"</formula>
    </cfRule>
  </conditionalFormatting>
  <conditionalFormatting sqref="V50:W50 V4:W4">
    <cfRule type="cellIs" dxfId="27" priority="6" stopIfTrue="1" operator="equal">
      <formula>"Totals Correct"</formula>
    </cfRule>
    <cfRule type="cellIs" dxfId="26" priority="7" stopIfTrue="1" operator="equal">
      <formula>"ERROR"</formula>
    </cfRule>
  </conditionalFormatting>
  <conditionalFormatting sqref="U50 U4">
    <cfRule type="cellIs" dxfId="25" priority="8" stopIfTrue="1" operator="equal">
      <formula>"OK TO MOVE TO NEXT STAGE"</formula>
    </cfRule>
    <cfRule type="cellIs" dxfId="24" priority="9" stopIfTrue="1" operator="equal">
      <formula>"DO NOT MOVE TO NEXT STAGE"</formula>
    </cfRule>
  </conditionalFormatting>
  <hyperlinks>
    <hyperlink ref="Z6:AF7" location="'Stage 14'!A83:W83" display="BACK to Overview of STAGE 14"/>
    <hyperlink ref="AL28" location="'Stage 2'!BI1" display="MOVE TO TRANSFER OF SURPLUS VOTES FORM"/>
    <hyperlink ref="AL31" location="'Stage 2'!CC1" display="MOVE TO EXCLUDE CANDIDATE FORM"/>
    <hyperlink ref="AL28:AQ29" location="'Stage 15'!AY1:BK1" display="MOVE TO TRANSFER OF SURPLUS VOTES FORM"/>
    <hyperlink ref="AL31:AQ32" location="'Stage 15'!BN1:CE1" display="MOVE TO EXCLUDE CANDIDATE FORM"/>
    <hyperlink ref="BI3:BK3" location="'Stage 15'!Y1:AR1" display="BACK to DECISION FORM"/>
    <hyperlink ref="BI30:BK31" location="'Stage 15'!A83:W83" display="FORWARD to OVERVIEW OF STAGE 15"/>
    <hyperlink ref="CB2" location="'Stage 2'!AQ5" display="MOVE TO NEXT FORM"/>
    <hyperlink ref="CB2:CE2" location="'Stage 15'!Y1:AR1" display="BACK to DECISION FORM"/>
    <hyperlink ref="CB31" location="'Stage 2'!A1" display="HOME TO OVERVIEW OF STAGE 2"/>
    <hyperlink ref="CB31:CE32" location="'Stage 15'!A83:W83" display="FORWARD to OVERVIEW OF STAGE 15"/>
    <hyperlink ref="O50" location="'Stage 3'!A1" display="MOVE TO STAGE 3"/>
    <hyperlink ref="O48" location="'Stage 3'!A1" display="MOVE TO STAGE 3"/>
    <hyperlink ref="O48:S48" location="'Stage 15'!Y1:AR1" display="BACK to DECISION FORM Stage 15"/>
    <hyperlink ref="O50:S50" location="'Stage 16'!Y1:AR1" display="FORWARD TO STAGE 16"/>
    <hyperlink ref="O4" location="'Stage 3'!A1" display="MOVE TO STAGE 3"/>
    <hyperlink ref="O2" location="'Stage 3'!A1" display="MOVE TO STAGE 3"/>
    <hyperlink ref="O2:S2" location="'Stage 15'!Y1:AR1" display="BACK to DECISION FORM Stage 15"/>
    <hyperlink ref="O4:S4" location="'Stage 16'!Y1:AR1" display="FORWARD TO STAGE 16"/>
    <hyperlink ref="O3:S3" location="'Stage 15'!A83:W83" display="OVERVIEW OF STAGES 10 - 15"/>
    <hyperlink ref="O49:S49" location="'Stage 15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DF232"/>
  <sheetViews>
    <sheetView showGridLines="0" showZeros="0" zoomScale="75" workbookViewId="0">
      <selection activeCell="F53" sqref="F53:G53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9" customWidth="1"/>
    <col min="25" max="25" width="4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3" width="9.54296875" customWidth="1"/>
    <col min="44" max="44" width="16.36328125" customWidth="1"/>
    <col min="45" max="45" width="227.54296875" customWidth="1"/>
    <col min="50" max="50" width="228.63281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20.0898437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284</v>
      </c>
      <c r="J1" s="85" t="s">
        <v>37</v>
      </c>
      <c r="K1" s="319">
        <f>'Basic Input'!C2</f>
        <v>45064</v>
      </c>
      <c r="L1" s="319"/>
      <c r="Z1" s="10" t="s">
        <v>316</v>
      </c>
      <c r="AQ1" s="33"/>
      <c r="AZ1" s="10" t="s">
        <v>126</v>
      </c>
      <c r="BE1" s="34" t="str">
        <f>IF(AT5="T","COMPLETE THIS FORM","YOU HAVE NOT SELECTED TO COMPLETE THIS FORM")</f>
        <v>YOU HAVE NOT SELECTED TO COMPLETE THIS FORM</v>
      </c>
      <c r="BR1" s="10" t="s">
        <v>127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317</v>
      </c>
      <c r="P2" s="346"/>
      <c r="Q2" s="346"/>
      <c r="R2" s="346"/>
      <c r="S2" s="347"/>
      <c r="U2" s="379"/>
      <c r="V2" s="379"/>
      <c r="W2" s="379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I2" s="313"/>
      <c r="BJ2" s="313"/>
      <c r="BK2" s="313"/>
      <c r="BR2" s="36" t="s">
        <v>284</v>
      </c>
      <c r="CB2" s="345" t="s">
        <v>131</v>
      </c>
      <c r="CC2" s="346"/>
      <c r="CD2" s="346"/>
      <c r="CE2" s="347"/>
    </row>
    <row r="3" spans="1:105" ht="18.5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76" t="s">
        <v>318</v>
      </c>
      <c r="P3" s="377"/>
      <c r="Q3" s="377"/>
      <c r="R3" s="377"/>
      <c r="S3" s="378"/>
      <c r="U3" s="379"/>
      <c r="V3" s="379"/>
      <c r="W3" s="379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0</v>
      </c>
      <c r="AJ3" s="163"/>
      <c r="AK3" s="163"/>
      <c r="AL3" s="352">
        <f>IF(AQ5="n","MOVE TO EXCLUDE CANDIDATE FORM",IF(AQ5="y","MOVE TO TRANSFER OF SURPLUS VOTES FORM",0))</f>
        <v>0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L3" s="114"/>
      <c r="BR3" s="81" t="s">
        <v>133</v>
      </c>
      <c r="BS3" s="82"/>
      <c r="BT3" s="348"/>
      <c r="BU3" s="349"/>
      <c r="BV3" s="349"/>
      <c r="BW3" s="349"/>
      <c r="BX3" s="349"/>
      <c r="BY3" s="349"/>
      <c r="BZ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319</v>
      </c>
      <c r="P4" s="346"/>
      <c r="Q4" s="346"/>
      <c r="R4" s="346"/>
      <c r="S4" s="347"/>
      <c r="U4" s="311" t="str">
        <f>IF(S79="ERROR","DO NOT MOVE TO NEXT STAGE","OK TO MOVE TO NEXT STAGE")</f>
        <v>DO NOT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IF(C57=0,0,IF(Q57=0,"Excluded",0))</f>
        <v>Excluded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27" t="s">
        <v>320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Transfer</v>
      </c>
      <c r="AR6" s="302"/>
      <c r="AS6" s="181"/>
      <c r="AT6" s="91"/>
      <c r="AU6" s="91"/>
      <c r="AW6" s="33"/>
      <c r="AX6" s="33"/>
      <c r="AZ6" s="36" t="s">
        <v>284</v>
      </c>
      <c r="BA6" s="245"/>
      <c r="BE6" s="61" t="str">
        <f>'Verification of Boxes'!J11</f>
        <v>FLYNN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4" si="2">IF(C58=0,0,IF(Q58=0,"Excluded",0))</f>
        <v>Excluded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Exclude</v>
      </c>
      <c r="U7" s="362"/>
      <c r="V7" s="361">
        <f>'Stage 10'!V7:W7</f>
        <v>0</v>
      </c>
      <c r="W7" s="362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EWING</v>
      </c>
      <c r="G8" s="364"/>
      <c r="H8" s="359" t="str">
        <f>'Stage 3'!H8:I8</f>
        <v xml:space="preserve"> MCEVOY</v>
      </c>
      <c r="I8" s="360"/>
      <c r="J8" s="359" t="str">
        <f>'Stage 4'!J8:K8</f>
        <v>GREHAN</v>
      </c>
      <c r="K8" s="360"/>
      <c r="L8" s="359" t="str">
        <f>'Stage 5'!L8:M8</f>
        <v>GIVAN</v>
      </c>
      <c r="M8" s="360"/>
      <c r="N8" s="359" t="str">
        <f>'Stage 6'!N8:O8</f>
        <v>FRENCH</v>
      </c>
      <c r="O8" s="360"/>
      <c r="P8" s="359" t="str">
        <f>'Stage 7'!P8:Q8</f>
        <v>FLYNN</v>
      </c>
      <c r="Q8" s="360"/>
      <c r="R8" s="359" t="str">
        <f>'Stage 8'!R8:S8</f>
        <v>KENNEDY</v>
      </c>
      <c r="S8" s="360"/>
      <c r="T8" s="359" t="str">
        <f>'Stage 9'!T8:U8</f>
        <v>PALMER</v>
      </c>
      <c r="U8" s="360"/>
      <c r="V8" s="359">
        <f>'Stage 10'!V8:W8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GIVAN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EWING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115" t="s">
        <v>112</v>
      </c>
      <c r="W9" s="116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Transfer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7">
        <f t="shared" si="3"/>
        <v>0</v>
      </c>
      <c r="BP9" s="66"/>
      <c r="BR9" s="9" t="str">
        <f>'Verification of Boxes'!J11</f>
        <v>FLYNN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113</v>
      </c>
      <c r="B10" s="18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KENNEDY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FRENCH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15'!B57</f>
        <v>1</v>
      </c>
      <c r="C11" s="30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>'Stage 3'!H11</f>
        <v>0</v>
      </c>
      <c r="I11" s="135">
        <f>'Stage 3'!I11</f>
        <v>1071</v>
      </c>
      <c r="J11" s="71">
        <f>'Stage 4'!J11</f>
        <v>0</v>
      </c>
      <c r="K11" s="135">
        <f>'Stage 4'!K11</f>
        <v>1071</v>
      </c>
      <c r="L11" s="71">
        <f>'Stage 5'!L11</f>
        <v>0</v>
      </c>
      <c r="M11" s="135">
        <f>'Stage 5'!M11</f>
        <v>1071</v>
      </c>
      <c r="N11" s="71">
        <f>'Stage 6'!N11</f>
        <v>0</v>
      </c>
      <c r="O11" s="135">
        <f>'Stage 6'!O11</f>
        <v>1071</v>
      </c>
      <c r="P11" s="71">
        <f>'Stage 7'!P11</f>
        <v>0</v>
      </c>
      <c r="Q11" s="135">
        <f>'Stage 7'!Q11</f>
        <v>1071</v>
      </c>
      <c r="R11" s="71">
        <f>'Stage 8'!R11</f>
        <v>0</v>
      </c>
      <c r="S11" s="135">
        <f>'Stage 8'!S11</f>
        <v>1071</v>
      </c>
      <c r="T11" s="71">
        <f>'Stage 9'!T11</f>
        <v>0</v>
      </c>
      <c r="U11" s="135">
        <f>'Stage 9'!U11</f>
        <v>1071</v>
      </c>
      <c r="V11" s="71">
        <f>'Stage 10'!V11</f>
        <v>0</v>
      </c>
      <c r="W11" s="135">
        <f>'Stage 10'!W11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Excluded</v>
      </c>
      <c r="B12" s="235">
        <f>'Stage 15'!B58</f>
        <v>0</v>
      </c>
      <c r="C12" s="31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>'Stage 3'!H12</f>
        <v>1</v>
      </c>
      <c r="I12" s="135">
        <f>'Stage 3'!I12</f>
        <v>494.42</v>
      </c>
      <c r="J12" s="71">
        <f>'Stage 4'!J12</f>
        <v>0.48</v>
      </c>
      <c r="K12" s="135">
        <f>'Stage 4'!K12</f>
        <v>494.90000000000003</v>
      </c>
      <c r="L12" s="71">
        <f>'Stage 5'!L12</f>
        <v>0.04</v>
      </c>
      <c r="M12" s="135">
        <f>'Stage 5'!M12</f>
        <v>494.94000000000005</v>
      </c>
      <c r="N12" s="71">
        <f>'Stage 6'!N12</f>
        <v>176.15</v>
      </c>
      <c r="O12" s="135">
        <f>'Stage 6'!O12</f>
        <v>671.09</v>
      </c>
      <c r="P12" s="71">
        <f>'Stage 7'!P12</f>
        <v>-671.09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MITCHELL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15'!B59</f>
        <v>0</v>
      </c>
      <c r="C13" s="31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>'Stage 3'!H13</f>
        <v>4</v>
      </c>
      <c r="I13" s="135">
        <f>'Stage 3'!I13</f>
        <v>476.42</v>
      </c>
      <c r="J13" s="71">
        <f>'Stage 4'!J13</f>
        <v>0.89999999999999991</v>
      </c>
      <c r="K13" s="135">
        <f>'Stage 4'!K13</f>
        <v>477.32</v>
      </c>
      <c r="L13" s="71">
        <f>'Stage 5'!L13</f>
        <v>0.02</v>
      </c>
      <c r="M13" s="135">
        <f>'Stage 5'!M13</f>
        <v>477.34</v>
      </c>
      <c r="N13" s="71">
        <f>'Stage 6'!N13</f>
        <v>-477.34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115</v>
      </c>
      <c r="AA13" s="124" t="s">
        <v>168</v>
      </c>
      <c r="AB13" s="16"/>
      <c r="AC13" s="16" t="s">
        <v>169</v>
      </c>
      <c r="AD13" s="18"/>
      <c r="AE13" s="16" t="s">
        <v>170</v>
      </c>
      <c r="AF13" s="18" t="s">
        <v>171</v>
      </c>
      <c r="AG13" s="14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/>
      <c r="BE13" s="61" t="str">
        <f>'Verification of Boxes'!J18</f>
        <v>PALMER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KENNEDY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15'!B60</f>
        <v>3</v>
      </c>
      <c r="C14" s="31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>'Stage 3'!H14</f>
        <v>0</v>
      </c>
      <c r="I14" s="135">
        <f>'Stage 3'!I14</f>
        <v>1089.5999999999999</v>
      </c>
      <c r="J14" s="71">
        <f>'Stage 4'!J14</f>
        <v>0</v>
      </c>
      <c r="K14" s="135">
        <f>'Stage 4'!K14</f>
        <v>1089.5999999999999</v>
      </c>
      <c r="L14" s="71">
        <f>'Stage 5'!L14</f>
        <v>-18.599999999999909</v>
      </c>
      <c r="M14" s="135">
        <f>'Stage 5'!M14</f>
        <v>1071</v>
      </c>
      <c r="N14" s="71">
        <f>'Stage 6'!N14</f>
        <v>0</v>
      </c>
      <c r="O14" s="135">
        <f>'Stage 6'!O14</f>
        <v>1071</v>
      </c>
      <c r="P14" s="71">
        <f>'Stage 7'!P14</f>
        <v>0</v>
      </c>
      <c r="Q14" s="135">
        <f>'Stage 7'!Q14</f>
        <v>1071</v>
      </c>
      <c r="R14" s="71">
        <f>'Stage 8'!R14</f>
        <v>0</v>
      </c>
      <c r="S14" s="135">
        <f>'Stage 8'!S14</f>
        <v>1071</v>
      </c>
      <c r="T14" s="71">
        <f>'Stage 9'!T14</f>
        <v>0</v>
      </c>
      <c r="U14" s="135">
        <f>'Stage 9'!U14</f>
        <v>1071</v>
      </c>
      <c r="V14" s="71">
        <f>'Stage 10'!V14</f>
        <v>0</v>
      </c>
      <c r="W14" s="135">
        <f>'Stage 10'!W14</f>
        <v>0</v>
      </c>
      <c r="Z14" s="92" t="str">
        <f>'Verification of Boxes'!J10</f>
        <v>EWING</v>
      </c>
      <c r="AA14" s="93">
        <f>Q57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/>
      <c r="BE14" s="61" t="str">
        <f>'Verification of Boxes'!J19</f>
        <v>PORTER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15'!B61</f>
        <v>2</v>
      </c>
      <c r="C15" s="31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>'Stage 3'!H15</f>
        <v>0</v>
      </c>
      <c r="I15" s="135">
        <f>'Stage 3'!I15</f>
        <v>1111</v>
      </c>
      <c r="J15" s="71">
        <f>'Stage 4'!J15</f>
        <v>-40</v>
      </c>
      <c r="K15" s="135">
        <f>'Stage 4'!K15</f>
        <v>1071</v>
      </c>
      <c r="L15" s="71">
        <f>'Stage 5'!L15</f>
        <v>0</v>
      </c>
      <c r="M15" s="135">
        <f>'Stage 5'!M15</f>
        <v>1071</v>
      </c>
      <c r="N15" s="71">
        <f>'Stage 6'!N15</f>
        <v>0</v>
      </c>
      <c r="O15" s="135">
        <f>'Stage 6'!O15</f>
        <v>1071</v>
      </c>
      <c r="P15" s="71">
        <f>'Stage 7'!P15</f>
        <v>0</v>
      </c>
      <c r="Q15" s="135">
        <f>'Stage 7'!Q15</f>
        <v>1071</v>
      </c>
      <c r="R15" s="71">
        <f>'Stage 8'!R15</f>
        <v>0</v>
      </c>
      <c r="S15" s="135">
        <f>'Stage 8'!S15</f>
        <v>1071</v>
      </c>
      <c r="T15" s="71">
        <f>'Stage 9'!T15</f>
        <v>0</v>
      </c>
      <c r="U15" s="135">
        <f>'Stage 9'!U15</f>
        <v>1071</v>
      </c>
      <c r="V15" s="71">
        <f>'Stage 10'!V15</f>
        <v>0</v>
      </c>
      <c r="W15" s="135">
        <f>'Stage 10'!W15</f>
        <v>0</v>
      </c>
      <c r="Z15" s="95" t="str">
        <f>'Verification of Boxes'!J11</f>
        <v>FLYNN</v>
      </c>
      <c r="AA15" s="37">
        <f t="shared" ref="AA15:AA32" si="16">Q58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MITCHELL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Elected</v>
      </c>
      <c r="B16" s="235">
        <f>'Stage 15'!B62</f>
        <v>4</v>
      </c>
      <c r="C16" s="31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>'Stage 3'!H16</f>
        <v>3.06</v>
      </c>
      <c r="I16" s="135">
        <f>'Stage 3'!I16</f>
        <v>677.3</v>
      </c>
      <c r="J16" s="71">
        <f>'Stage 4'!J16</f>
        <v>30.029999999999998</v>
      </c>
      <c r="K16" s="135">
        <f>'Stage 4'!K16</f>
        <v>707.32999999999993</v>
      </c>
      <c r="L16" s="71">
        <f>'Stage 5'!L16</f>
        <v>0.22</v>
      </c>
      <c r="M16" s="135">
        <f>'Stage 5'!M16</f>
        <v>707.55</v>
      </c>
      <c r="N16" s="71">
        <f>'Stage 6'!N16</f>
        <v>241.72</v>
      </c>
      <c r="O16" s="135">
        <f>'Stage 6'!O16</f>
        <v>949.27</v>
      </c>
      <c r="P16" s="71">
        <f>'Stage 7'!P16</f>
        <v>375</v>
      </c>
      <c r="Q16" s="135">
        <f>'Stage 7'!Q16</f>
        <v>1324.27</v>
      </c>
      <c r="R16" s="71">
        <f>'Stage 8'!R16</f>
        <v>-253.26999999999998</v>
      </c>
      <c r="S16" s="135">
        <f>'Stage 8'!S16</f>
        <v>1071</v>
      </c>
      <c r="T16" s="71">
        <f>'Stage 9'!T16</f>
        <v>0</v>
      </c>
      <c r="U16" s="135">
        <f>'Stage 9'!U16</f>
        <v>1071</v>
      </c>
      <c r="V16" s="71">
        <f>'Stage 10'!V16</f>
        <v>0</v>
      </c>
      <c r="W16" s="135">
        <f>'Stage 10'!W16</f>
        <v>0</v>
      </c>
      <c r="Z16" s="95" t="str">
        <f>'Verification of Boxes'!J12</f>
        <v>FRENCH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PALMER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15'!B63</f>
        <v>0</v>
      </c>
      <c r="C17" s="31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>'Stage 3'!H17</f>
        <v>-388.44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GIVAN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 t="str">
        <f>'Verification of Boxes'!J19</f>
        <v>PORTER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15'!B64</f>
        <v>5</v>
      </c>
      <c r="C18" s="31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>'Stage 3'!H18</f>
        <v>91.42</v>
      </c>
      <c r="I18" s="135">
        <f>'Stage 3'!I18</f>
        <v>962.86</v>
      </c>
      <c r="J18" s="71">
        <f>'Stage 4'!J18</f>
        <v>0.72</v>
      </c>
      <c r="K18" s="135">
        <f>'Stage 4'!K18</f>
        <v>963.58</v>
      </c>
      <c r="L18" s="71">
        <f>'Stage 5'!L18</f>
        <v>1.54</v>
      </c>
      <c r="M18" s="135">
        <f>'Stage 5'!M18</f>
        <v>965.12</v>
      </c>
      <c r="N18" s="71">
        <f>'Stage 6'!N18</f>
        <v>6</v>
      </c>
      <c r="O18" s="135">
        <f>'Stage 6'!O18</f>
        <v>971.12</v>
      </c>
      <c r="P18" s="71">
        <f>'Stage 7'!P18</f>
        <v>36.170000000000009</v>
      </c>
      <c r="Q18" s="135">
        <f>'Stage 7'!Q18</f>
        <v>1007.29</v>
      </c>
      <c r="R18" s="71">
        <f>'Stage 8'!R18</f>
        <v>58</v>
      </c>
      <c r="S18" s="135">
        <f>'Stage 8'!S18</f>
        <v>1065.29</v>
      </c>
      <c r="T18" s="71">
        <f>'Stage 9'!T18</f>
        <v>0</v>
      </c>
      <c r="U18" s="135">
        <f>'Stage 9'!U18</f>
        <v>1065.29</v>
      </c>
      <c r="V18" s="71">
        <f>'Stage 10'!V18</f>
        <v>0</v>
      </c>
      <c r="W18" s="135">
        <f>'Stage 10'!W18</f>
        <v>0</v>
      </c>
      <c r="Z18" s="95" t="str">
        <f>'Verification of Boxes'!J14</f>
        <v>GREHAN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15'!B65</f>
        <v>0</v>
      </c>
      <c r="C19" s="31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>'Stage 3'!H19</f>
        <v>64.48</v>
      </c>
      <c r="I19" s="135">
        <f>'Stage 3'!I19</f>
        <v>692.9</v>
      </c>
      <c r="J19" s="71">
        <f>'Stage 4'!J19</f>
        <v>0.69</v>
      </c>
      <c r="K19" s="135">
        <f>'Stage 4'!K19</f>
        <v>693.59</v>
      </c>
      <c r="L19" s="71">
        <f>'Stage 5'!L19</f>
        <v>0.68</v>
      </c>
      <c r="M19" s="135">
        <f>'Stage 5'!M19</f>
        <v>694.27</v>
      </c>
      <c r="N19" s="71">
        <f>'Stage 6'!N19</f>
        <v>12.15</v>
      </c>
      <c r="O19" s="135">
        <f>'Stage 6'!O19</f>
        <v>706.42</v>
      </c>
      <c r="P19" s="71">
        <f>'Stage 7'!P19</f>
        <v>21.06</v>
      </c>
      <c r="Q19" s="135">
        <f>'Stage 7'!Q19</f>
        <v>727.4799999999999</v>
      </c>
      <c r="R19" s="71">
        <f>'Stage 8'!R19</f>
        <v>18</v>
      </c>
      <c r="S19" s="135">
        <f>'Stage 8'!S19</f>
        <v>745.4799999999999</v>
      </c>
      <c r="T19" s="71">
        <f>'Stage 9'!T19</f>
        <v>-745.4799999999999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KENNEDY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15'!B66</f>
        <v>6</v>
      </c>
      <c r="C20" s="31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>'Stage 3'!H20</f>
        <v>204.42</v>
      </c>
      <c r="I20" s="135">
        <f>'Stage 3'!I20</f>
        <v>900.42</v>
      </c>
      <c r="J20" s="71">
        <f>'Stage 4'!J20</f>
        <v>0.39</v>
      </c>
      <c r="K20" s="135">
        <f>'Stage 4'!K20</f>
        <v>900.81</v>
      </c>
      <c r="L20" s="71">
        <f>'Stage 5'!L20</f>
        <v>14.34</v>
      </c>
      <c r="M20" s="135">
        <f>'Stage 5'!M20</f>
        <v>915.15</v>
      </c>
      <c r="N20" s="71">
        <f>'Stage 6'!N20</f>
        <v>6</v>
      </c>
      <c r="O20" s="135">
        <f>'Stage 6'!O20</f>
        <v>921.15</v>
      </c>
      <c r="P20" s="71">
        <f>'Stage 7'!P20</f>
        <v>10.08</v>
      </c>
      <c r="Q20" s="135">
        <f>'Stage 7'!Q20</f>
        <v>931.23</v>
      </c>
      <c r="R20" s="71">
        <f>'Stage 8'!R20</f>
        <v>6</v>
      </c>
      <c r="S20" s="135">
        <f>'Stage 8'!S20</f>
        <v>937.23</v>
      </c>
      <c r="T20" s="71">
        <f>'Stage 9'!T20</f>
        <v>0</v>
      </c>
      <c r="U20" s="135">
        <f>'Stage 9'!U20</f>
        <v>937.23</v>
      </c>
      <c r="V20" s="71">
        <f>'Stage 10'!V20</f>
        <v>0</v>
      </c>
      <c r="W20" s="135">
        <f>'Stage 10'!W20</f>
        <v>0</v>
      </c>
      <c r="Z20" s="95" t="str">
        <f>'Verification of Boxes'!J16</f>
        <v>MCEVOY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39" t="s">
        <v>184</v>
      </c>
      <c r="AK20" s="340"/>
      <c r="AL20" s="142">
        <f>AL46</f>
        <v>1000000</v>
      </c>
      <c r="AM20" s="118"/>
      <c r="AN20" s="142">
        <f>AL20+AG2</f>
        <v>1000000</v>
      </c>
      <c r="AO20" s="334">
        <f>IF(AN20&gt;AG4,0,IF(AN20&lt;AL21,"Exclude lowest candidate",0))</f>
        <v>0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15'!B67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MITCHELL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41" t="s">
        <v>185</v>
      </c>
      <c r="AK21" s="293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15'!B68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PALMER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41" t="s">
        <v>185</v>
      </c>
      <c r="AK22" s="293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15'!B69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 t="str">
        <f>'Verification of Boxes'!J19</f>
        <v>PORTER</v>
      </c>
      <c r="AA23" s="37">
        <f t="shared" si="16"/>
        <v>0</v>
      </c>
      <c r="AB23" s="5"/>
      <c r="AC23" s="100">
        <f t="shared" si="13"/>
        <v>0</v>
      </c>
      <c r="AD23" s="110"/>
      <c r="AE23" s="5" t="str">
        <f t="shared" si="17"/>
        <v>excluded</v>
      </c>
      <c r="AF23" s="5">
        <f t="shared" si="14"/>
        <v>0</v>
      </c>
      <c r="AG23" s="96">
        <f t="shared" si="15"/>
        <v>0</v>
      </c>
      <c r="AJ23" s="341" t="s">
        <v>185</v>
      </c>
      <c r="AK23" s="293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15'!B70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41" t="s">
        <v>185</v>
      </c>
      <c r="AK24" s="293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189</v>
      </c>
      <c r="BA24" s="3" t="s">
        <v>190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15'!B71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55" t="s">
        <v>185</v>
      </c>
      <c r="AK25" s="35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0</v>
      </c>
      <c r="BE25" s="61" t="s">
        <v>193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15'!B72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194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15'!B73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15'!B74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123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15'!B75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30"/>
      <c r="AM29" s="331"/>
      <c r="AN29" s="331"/>
      <c r="AO29" s="331"/>
      <c r="AP29" s="331"/>
      <c r="AQ29" s="332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0</v>
      </c>
      <c r="BR29" s="5" t="s">
        <v>200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15'!B76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321</v>
      </c>
      <c r="BJ30" s="328"/>
      <c r="BK30" s="329"/>
      <c r="BX30" s="333" t="str">
        <f>IF(BW31=BW69,"Calculations OK","Check Count for Error")</f>
        <v>Calculations OK</v>
      </c>
      <c r="BY30" s="333"/>
    </row>
    <row r="31" spans="1:83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1">
        <f>'Stage 3'!H31</f>
        <v>20.059999999999999</v>
      </c>
      <c r="I31" s="135">
        <f>'Stage 3'!I31</f>
        <v>20.079999999999995</v>
      </c>
      <c r="J31" s="71">
        <f>'Stage 4'!J31</f>
        <v>6.7899999999999991</v>
      </c>
      <c r="K31" s="135">
        <f>'Stage 4'!K31</f>
        <v>26.869999999999994</v>
      </c>
      <c r="L31" s="71">
        <f>'Stage 5'!L31</f>
        <v>1.7599999999999092</v>
      </c>
      <c r="M31" s="135">
        <f>'Stage 5'!M31</f>
        <v>28.629999999999903</v>
      </c>
      <c r="N31" s="71">
        <f>'Stage 6'!N31</f>
        <v>35.320000000000007</v>
      </c>
      <c r="O31" s="135">
        <f>'Stage 6'!O31</f>
        <v>63.94999999999991</v>
      </c>
      <c r="P31" s="71">
        <f>'Stage 7'!P31</f>
        <v>228.78</v>
      </c>
      <c r="Q31" s="135">
        <f>'Stage 7'!Q31</f>
        <v>292.7299999999999</v>
      </c>
      <c r="R31" s="71">
        <f>'Stage 8'!R31</f>
        <v>171.26999999999998</v>
      </c>
      <c r="S31" s="135">
        <f>'Stage 8'!S31</f>
        <v>463.99999999999989</v>
      </c>
      <c r="T31" s="71">
        <f>'Stage 9'!T31</f>
        <v>0</v>
      </c>
      <c r="U31" s="135">
        <f>'Stage 9'!U31</f>
        <v>463.99999999999989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203</v>
      </c>
      <c r="BA31" s="3" t="s">
        <v>204</v>
      </c>
      <c r="BB31" s="3"/>
      <c r="BC31" s="50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V31" t="s">
        <v>119</v>
      </c>
      <c r="BW31" s="5">
        <f>BT29+BV29+BX29+BZ29+CB29+CD29</f>
        <v>0</v>
      </c>
      <c r="BX31" s="311"/>
      <c r="BY31" s="311"/>
      <c r="BZ31" s="5">
        <f>BW69-BW31</f>
        <v>0</v>
      </c>
      <c r="CB31" s="327" t="s">
        <v>321</v>
      </c>
      <c r="CC31" s="328"/>
      <c r="CD31" s="328"/>
      <c r="CE31" s="32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1"/>
      <c r="I32" s="135">
        <f>'Stage 3'!I32</f>
        <v>7496</v>
      </c>
      <c r="J32" s="192"/>
      <c r="K32" s="135">
        <f>'Stage 4'!K32</f>
        <v>7495.9999999999991</v>
      </c>
      <c r="L32" s="192"/>
      <c r="M32" s="135">
        <f>'Stage 5'!M32</f>
        <v>7495.9999999999991</v>
      </c>
      <c r="N32" s="192"/>
      <c r="O32" s="135">
        <f>'Stage 6'!O32</f>
        <v>7496</v>
      </c>
      <c r="P32" s="192"/>
      <c r="Q32" s="135">
        <f>'Stage 7'!Q32</f>
        <v>7496</v>
      </c>
      <c r="R32" s="192"/>
      <c r="S32" s="135">
        <f>'Stage 8'!S32</f>
        <v>7496</v>
      </c>
      <c r="T32" s="192"/>
      <c r="U32" s="135">
        <f>'Stage 9'!U32</f>
        <v>6750.52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30"/>
      <c r="AM32" s="331"/>
      <c r="AN32" s="331"/>
      <c r="AO32" s="331"/>
      <c r="AP32" s="331"/>
      <c r="AQ32" s="332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11"/>
      <c r="BG32" s="311"/>
      <c r="BX32" s="311"/>
      <c r="BY32" s="311"/>
      <c r="CB32" s="330"/>
      <c r="CC32" s="331"/>
      <c r="CD32" s="331"/>
      <c r="CE32" s="332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>Q76</f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5">
        <f>'Stage 3'!I34</f>
        <v>0</v>
      </c>
      <c r="J34" s="219"/>
      <c r="K34" s="185">
        <f>'Stage 4'!K34</f>
        <v>0</v>
      </c>
      <c r="L34" s="219"/>
      <c r="M34" s="185">
        <f>'Stage 5'!M34</f>
        <v>0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0.77361111111111114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EWING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FLYNN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1:75" x14ac:dyDescent="0.25">
      <c r="Z46" s="253" t="str">
        <v>FRENCH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212</v>
      </c>
    </row>
    <row r="47" spans="1:75" ht="18.5" thickBot="1" x14ac:dyDescent="0.45">
      <c r="A47" s="76" t="str">
        <f>'Verification of Boxes'!B1</f>
        <v>Local Council Elections 2023</v>
      </c>
      <c r="F47" s="10" t="s">
        <v>284</v>
      </c>
      <c r="J47" s="85" t="s">
        <v>37</v>
      </c>
      <c r="K47" s="319">
        <f>'Basic Input'!C2</f>
        <v>45064</v>
      </c>
      <c r="L47" s="319"/>
      <c r="Z47" s="253" t="str">
        <v>GIVAN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4.5" customHeight="1" thickBot="1" x14ac:dyDescent="0.45">
      <c r="A48" s="10" t="str">
        <f>'Verification of Boxes'!A3</f>
        <v>District Electoral Area of</v>
      </c>
      <c r="D48" s="10" t="str">
        <f>'Verification of Boxes'!B3</f>
        <v>Lisburn South</v>
      </c>
      <c r="O48" s="345" t="s">
        <v>317</v>
      </c>
      <c r="P48" s="346"/>
      <c r="Q48" s="346"/>
      <c r="R48" s="346"/>
      <c r="S48" s="347"/>
      <c r="Z48" s="253" t="str">
        <v>GREHAN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EWING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W48" t="s">
        <v>218</v>
      </c>
    </row>
    <row r="49" spans="1:75" ht="21.75" customHeight="1" thickBot="1" x14ac:dyDescent="0.35">
      <c r="C49" s="3" t="s">
        <v>96</v>
      </c>
      <c r="D49" s="68">
        <f>'Verification of Boxes'!L2</f>
        <v>16838</v>
      </c>
      <c r="E49" s="306" t="s">
        <v>62</v>
      </c>
      <c r="F49" s="307"/>
      <c r="G49" s="131">
        <f>'Verification of Boxes'!G3</f>
        <v>6</v>
      </c>
      <c r="H49" s="306" t="s">
        <v>97</v>
      </c>
      <c r="I49" s="307"/>
      <c r="J49" s="131">
        <f>'Verification of Boxes'!L33</f>
        <v>99</v>
      </c>
      <c r="K49" s="306" t="s">
        <v>98</v>
      </c>
      <c r="L49" s="307"/>
      <c r="M49" s="131">
        <f>'Verification of Boxes'!G4</f>
        <v>1071</v>
      </c>
      <c r="O49" s="376" t="s">
        <v>279</v>
      </c>
      <c r="P49" s="377"/>
      <c r="Q49" s="377"/>
      <c r="R49" s="377"/>
      <c r="S49" s="378"/>
      <c r="Z49" s="253" t="str">
        <v>KENNEDY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FLYNN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EWING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27.75" customHeight="1" thickBot="1" x14ac:dyDescent="0.45">
      <c r="A50" s="10"/>
      <c r="C50" s="3" t="s">
        <v>99</v>
      </c>
      <c r="D50" s="131">
        <f>'Verification of Boxes'!L3</f>
        <v>7595</v>
      </c>
      <c r="E50" s="161" t="s">
        <v>100</v>
      </c>
      <c r="F50" s="160"/>
      <c r="G50" s="67">
        <f>D50-J49</f>
        <v>7496</v>
      </c>
      <c r="H50" s="161" t="s">
        <v>101</v>
      </c>
      <c r="I50" s="160"/>
      <c r="J50" s="132">
        <f>'Verification of Boxes'!L5</f>
        <v>45.106307162370825</v>
      </c>
      <c r="O50" s="345" t="s">
        <v>319</v>
      </c>
      <c r="P50" s="346"/>
      <c r="Q50" s="346"/>
      <c r="R50" s="346"/>
      <c r="S50" s="347"/>
      <c r="U50" s="311" t="str">
        <f>IF(S79="ERROR","DO NOT MOVE TO NEXT STAGE","OK TO MOVE TO NEXT STAGE")</f>
        <v>DO NOT MOVE TO NEXT STAGE</v>
      </c>
      <c r="V50" s="311"/>
      <c r="W50" s="311"/>
      <c r="Z50" s="253" t="str">
        <v>MCEVOY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FRENCH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FLYNN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MITCHELL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GIVAN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FRENCH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94</v>
      </c>
      <c r="F52" s="288" t="s">
        <v>111</v>
      </c>
      <c r="G52" s="290"/>
      <c r="H52" s="288" t="s">
        <v>272</v>
      </c>
      <c r="I52" s="290"/>
      <c r="J52" s="288" t="s">
        <v>280</v>
      </c>
      <c r="K52" s="290"/>
      <c r="L52" s="288" t="s">
        <v>281</v>
      </c>
      <c r="M52" s="290"/>
      <c r="N52" s="288" t="s">
        <v>282</v>
      </c>
      <c r="O52" s="290"/>
      <c r="P52" s="288" t="s">
        <v>283</v>
      </c>
      <c r="Q52" s="290"/>
      <c r="R52" s="288" t="s">
        <v>284</v>
      </c>
      <c r="S52" s="290"/>
      <c r="T52" s="288" t="s">
        <v>285</v>
      </c>
      <c r="U52" s="290"/>
      <c r="V52" s="288" t="s">
        <v>286</v>
      </c>
      <c r="W52" s="290"/>
      <c r="Z52" s="253" t="str">
        <v>PALMER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GREHAN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GIVAN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IF($AT5=0,0,IF($AT5="T",$AZ7,$BR4))</f>
        <v>0</v>
      </c>
      <c r="S53" s="362"/>
      <c r="T53" s="361"/>
      <c r="U53" s="362"/>
      <c r="V53" s="361"/>
      <c r="W53" s="362"/>
      <c r="Z53" s="253" t="str">
        <v>PORTER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KENNEDY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GREHAN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59">
        <f>IF($R53="Transfer",$BA8,$BT3)</f>
        <v>0</v>
      </c>
      <c r="S54" s="360"/>
      <c r="T54" s="359"/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MCEVOY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KENNEDY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8" t="s">
        <v>112</v>
      </c>
      <c r="G55" s="290"/>
      <c r="H55" s="288" t="s">
        <v>112</v>
      </c>
      <c r="I55" s="290"/>
      <c r="J55" s="288" t="s">
        <v>112</v>
      </c>
      <c r="K55" s="290"/>
      <c r="L55" s="288" t="s">
        <v>112</v>
      </c>
      <c r="M55" s="290"/>
      <c r="N55" s="288" t="s">
        <v>112</v>
      </c>
      <c r="O55" s="290"/>
      <c r="P55" s="288" t="s">
        <v>112</v>
      </c>
      <c r="Q55" s="290"/>
      <c r="R55" s="288" t="s">
        <v>112</v>
      </c>
      <c r="S55" s="290"/>
      <c r="T55" s="288" t="s">
        <v>112</v>
      </c>
      <c r="U55" s="290"/>
      <c r="V55" s="288" t="s">
        <v>112</v>
      </c>
      <c r="W55" s="290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MITCHELL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MCEVOY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113</v>
      </c>
      <c r="B56" s="18" t="s">
        <v>114</v>
      </c>
      <c r="C56" s="16" t="s">
        <v>115</v>
      </c>
      <c r="D56" s="32" t="s">
        <v>116</v>
      </c>
      <c r="E56" s="1" t="s">
        <v>117</v>
      </c>
      <c r="F56" s="115"/>
      <c r="G56" s="116" t="s">
        <v>83</v>
      </c>
      <c r="H56" s="136"/>
      <c r="I56" s="137" t="s">
        <v>83</v>
      </c>
      <c r="J56" s="134"/>
      <c r="K56" s="137" t="s">
        <v>83</v>
      </c>
      <c r="L56" s="134"/>
      <c r="M56" s="137" t="s">
        <v>83</v>
      </c>
      <c r="N56" s="136"/>
      <c r="O56" s="137" t="s">
        <v>83</v>
      </c>
      <c r="P56" s="136"/>
      <c r="Q56" s="137" t="s">
        <v>83</v>
      </c>
      <c r="R56" s="136"/>
      <c r="S56" s="137" t="s">
        <v>83</v>
      </c>
      <c r="T56" s="136"/>
      <c r="U56" s="137" t="s">
        <v>83</v>
      </c>
      <c r="V56" s="136"/>
      <c r="W56" s="137" t="s">
        <v>83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PALMER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MITCHELL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15'!A57&lt;&gt;0,'Stage 15'!A57,IF(S57&gt;=$M$3,"Elected",IF(BP8&lt;&gt;0,"Excluded",0)))</f>
        <v>Elected</v>
      </c>
      <c r="B57" s="235">
        <f>'Stage 15'!B57</f>
        <v>1</v>
      </c>
      <c r="C57" s="29" t="str">
        <f>'Verification of Boxes'!J10</f>
        <v>EWING</v>
      </c>
      <c r="D57" s="152" t="str">
        <f>'Verification of Boxes'!K10</f>
        <v>D.U.P.</v>
      </c>
      <c r="E57" s="108">
        <f>'Verification of Boxes'!L10</f>
        <v>1139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159">
        <f t="shared" ref="R57:R76" si="42">IF($C57&lt;&gt;0,$BK49,0)</f>
        <v>0</v>
      </c>
      <c r="S57" s="39">
        <f t="shared" ref="S57:S77" si="43">IF(R$54=0,0,Q57+R57)</f>
        <v>0</v>
      </c>
      <c r="T57" s="157"/>
      <c r="U57" s="37"/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PORTER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PALMER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15'!A58&lt;&gt;0,'Stage 15'!A58,IF(S58&gt;=$M$3,"Elected",IF(BP9&lt;&gt;0,"Excluded",0)))</f>
        <v>Excluded</v>
      </c>
      <c r="B58" s="235">
        <f>'Stage 15'!B58</f>
        <v>0</v>
      </c>
      <c r="C58" s="20" t="str">
        <f>'Verification of Boxes'!J11</f>
        <v>FLYNN</v>
      </c>
      <c r="D58" s="153" t="str">
        <f>'Verification of Boxes'!K11</f>
        <v>Sinn Féin</v>
      </c>
      <c r="E58" s="109">
        <f>'Verification of Boxes'!L11</f>
        <v>493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159">
        <f t="shared" si="42"/>
        <v>0</v>
      </c>
      <c r="S58" s="39">
        <f t="shared" si="43"/>
        <v>0</v>
      </c>
      <c r="T58" s="157"/>
      <c r="U58" s="37"/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PORTER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15'!A59&lt;&gt;0,'Stage 15'!A59,IF(S59&gt;=$M$3,"Elected",IF(BP10&lt;&gt;0,"Excluded",0)))</f>
        <v>Excluded</v>
      </c>
      <c r="B59" s="235">
        <f>'Stage 15'!B59</f>
        <v>0</v>
      </c>
      <c r="C59" s="20" t="str">
        <f>'Verification of Boxes'!J12</f>
        <v>FRENCH</v>
      </c>
      <c r="D59" s="153" t="str">
        <f>'Verification of Boxes'!K12</f>
        <v xml:space="preserve">SDLP </v>
      </c>
      <c r="E59" s="109">
        <f>'Verification of Boxes'!L12</f>
        <v>472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159">
        <f t="shared" si="42"/>
        <v>0</v>
      </c>
      <c r="S59" s="39">
        <f t="shared" si="43"/>
        <v>0</v>
      </c>
      <c r="T59" s="157"/>
      <c r="U59" s="37"/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15'!A60&lt;&gt;0,'Stage 15'!A60,IF(S60&gt;=$M$3,"Elected",IF(BP11&lt;&gt;0,"Excluded",0)))</f>
        <v>Elected</v>
      </c>
      <c r="B60" s="235">
        <f>'Stage 15'!B60</f>
        <v>3</v>
      </c>
      <c r="C60" s="20" t="str">
        <f>'Verification of Boxes'!J13</f>
        <v>GIVAN</v>
      </c>
      <c r="D60" s="153" t="str">
        <f>'Verification of Boxes'!K13</f>
        <v>D.U.P.</v>
      </c>
      <c r="E60" s="109">
        <f>'Verification of Boxes'!L13</f>
        <v>1038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159">
        <f t="shared" si="42"/>
        <v>0</v>
      </c>
      <c r="S60" s="39">
        <f t="shared" si="43"/>
        <v>0</v>
      </c>
      <c r="T60" s="157"/>
      <c r="U60" s="37"/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15'!A61&lt;&gt;0,'Stage 15'!A61,IF(S61&gt;=$M$3,"Elected",IF(BP12&lt;&gt;0,"Excluded",0)))</f>
        <v>Elected</v>
      </c>
      <c r="B61" s="235">
        <f>'Stage 15'!B61</f>
        <v>2</v>
      </c>
      <c r="C61" s="20" t="str">
        <f>'Verification of Boxes'!J14</f>
        <v>GREHAN</v>
      </c>
      <c r="D61" s="153" t="str">
        <f>'Verification of Boxes'!K14</f>
        <v>Alliance Party</v>
      </c>
      <c r="E61" s="109">
        <f>'Verification of Boxes'!L14</f>
        <v>1111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159">
        <f t="shared" si="42"/>
        <v>0</v>
      </c>
      <c r="S61" s="39">
        <f t="shared" si="43"/>
        <v>0</v>
      </c>
      <c r="T61" s="157"/>
      <c r="U61" s="37"/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15'!A62&lt;&gt;0,'Stage 15'!A62,IF(S62&gt;=$M$3,"Elected",IF(BP13&lt;&gt;0,"Excluded",0)))</f>
        <v>Elected</v>
      </c>
      <c r="B62" s="235">
        <f>'Stage 15'!B62</f>
        <v>4</v>
      </c>
      <c r="C62" s="20" t="str">
        <f>'Verification of Boxes'!J15</f>
        <v>KENNEDY</v>
      </c>
      <c r="D62" s="153" t="str">
        <f>'Verification of Boxes'!K15</f>
        <v>Alliance Party</v>
      </c>
      <c r="E62" s="109">
        <f>'Verification of Boxes'!L15</f>
        <v>674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159">
        <f t="shared" si="42"/>
        <v>0</v>
      </c>
      <c r="S62" s="39">
        <f t="shared" si="43"/>
        <v>0</v>
      </c>
      <c r="T62" s="157"/>
      <c r="U62" s="37"/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15'!A63&lt;&gt;0,'Stage 15'!A63,IF(S63&gt;=$M$3,"Elected",IF(BP14&lt;&gt;0,"Excluded",0)))</f>
        <v>Excluded</v>
      </c>
      <c r="B63" s="235">
        <f>'Stage 15'!B63</f>
        <v>0</v>
      </c>
      <c r="C63" s="20" t="str">
        <f>'Verification of Boxes'!J16</f>
        <v>MCEVOY</v>
      </c>
      <c r="D63" s="153" t="str">
        <f>'Verification of Boxes'!K16</f>
        <v xml:space="preserve">TUV </v>
      </c>
      <c r="E63" s="109">
        <f>'Verification of Boxes'!L16</f>
        <v>387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159">
        <f t="shared" si="42"/>
        <v>0</v>
      </c>
      <c r="S63" s="39">
        <f t="shared" si="43"/>
        <v>0</v>
      </c>
      <c r="T63" s="157"/>
      <c r="U63" s="37"/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>
        <f>IF('Stage 15'!A64&lt;&gt;0,'Stage 15'!A64,IF(S64&gt;=$M$3,"Elected",IF(BP15&lt;&gt;0,"Excluded",0)))</f>
        <v>0</v>
      </c>
      <c r="B64" s="235">
        <f>'Stage 15'!B64</f>
        <v>5</v>
      </c>
      <c r="C64" s="20" t="str">
        <f>'Verification of Boxes'!J17</f>
        <v>MITCHELL</v>
      </c>
      <c r="D64" s="153" t="str">
        <f>'Verification of Boxes'!K17</f>
        <v>UUP</v>
      </c>
      <c r="E64" s="109">
        <f>'Verification of Boxes'!L17</f>
        <v>870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159">
        <f t="shared" si="42"/>
        <v>0</v>
      </c>
      <c r="S64" s="39">
        <f t="shared" si="43"/>
        <v>0</v>
      </c>
      <c r="T64" s="157"/>
      <c r="U64" s="37"/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15'!A65&lt;&gt;0,'Stage 15'!A65,IF(S65&gt;=$M$3,"Elected",IF(BP16&lt;&gt;0,"Excluded",0)))</f>
        <v>Excluded</v>
      </c>
      <c r="B65" s="235">
        <f>'Stage 15'!B65</f>
        <v>0</v>
      </c>
      <c r="C65" s="20" t="str">
        <f>'Verification of Boxes'!J18</f>
        <v>PALMER</v>
      </c>
      <c r="D65" s="153" t="str">
        <f>'Verification of Boxes'!K18</f>
        <v>UUP</v>
      </c>
      <c r="E65" s="109">
        <f>'Verification of Boxes'!L18</f>
        <v>625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159">
        <f t="shared" si="42"/>
        <v>0</v>
      </c>
      <c r="S65" s="39">
        <f t="shared" si="43"/>
        <v>0</v>
      </c>
      <c r="T65" s="157"/>
      <c r="U65" s="37"/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15'!A66&lt;&gt;0,'Stage 15'!A66,IF(S66&gt;=$M$3,"Elected",IF(BP17&lt;&gt;0,"Excluded",0)))</f>
        <v>0</v>
      </c>
      <c r="B66" s="235">
        <f>'Stage 15'!B66</f>
        <v>6</v>
      </c>
      <c r="C66" s="20" t="str">
        <f>'Verification of Boxes'!J19</f>
        <v>PORTER</v>
      </c>
      <c r="D66" s="153" t="str">
        <f>'Verification of Boxes'!K19</f>
        <v>D.U.P.</v>
      </c>
      <c r="E66" s="109">
        <f>'Verification of Boxes'!L19</f>
        <v>687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159">
        <f t="shared" si="42"/>
        <v>0</v>
      </c>
      <c r="S66" s="39">
        <f t="shared" si="43"/>
        <v>0</v>
      </c>
      <c r="T66" s="157"/>
      <c r="U66" s="37"/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15'!A67&lt;&gt;0,'Stage 15'!A67,IF(S67&gt;=$M$3,"Elected",IF(BP18&lt;&gt;0,"Excluded",0)))</f>
        <v>0</v>
      </c>
      <c r="B67" s="235">
        <f>'Stage 15'!B67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159">
        <f t="shared" si="42"/>
        <v>0</v>
      </c>
      <c r="S67" s="39">
        <f t="shared" si="43"/>
        <v>0</v>
      </c>
      <c r="T67" s="157"/>
      <c r="U67" s="37"/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15'!A68&lt;&gt;0,'Stage 15'!A68,IF(S68&gt;=$M$3,"Elected",IF(BP19&lt;&gt;0,"Excluded",0)))</f>
        <v>0</v>
      </c>
      <c r="B68" s="235">
        <f>'Stage 15'!B68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159">
        <f t="shared" si="42"/>
        <v>0</v>
      </c>
      <c r="S68" s="39">
        <f t="shared" si="43"/>
        <v>0</v>
      </c>
      <c r="T68" s="157"/>
      <c r="U68" s="37"/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15'!A69&lt;&gt;0,'Stage 15'!A69,IF(S69&gt;=$M$3,"Elected",IF(BP20&lt;&gt;0,"Excluded",0)))</f>
        <v>0</v>
      </c>
      <c r="B69" s="235">
        <f>'Stage 15'!B69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159">
        <f t="shared" si="42"/>
        <v>0</v>
      </c>
      <c r="S69" s="39">
        <f t="shared" si="43"/>
        <v>0</v>
      </c>
      <c r="T69" s="157"/>
      <c r="U69" s="37"/>
      <c r="V69" s="157"/>
      <c r="W69" s="37"/>
      <c r="BG69" t="s">
        <v>219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15'!A70&lt;&gt;0,'Stage 15'!A70,IF(S70&gt;=$M$3,"Elected",IF(BP21&lt;&gt;0,"Excluded",0)))</f>
        <v>0</v>
      </c>
      <c r="B70" s="235">
        <f>'Stage 15'!B70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159">
        <f t="shared" si="42"/>
        <v>0</v>
      </c>
      <c r="S70" s="39">
        <f t="shared" si="43"/>
        <v>0</v>
      </c>
      <c r="T70" s="157"/>
      <c r="U70" s="37"/>
      <c r="V70" s="157"/>
      <c r="W70" s="37"/>
      <c r="BK70" s="5">
        <f>BG27+CE29</f>
        <v>0</v>
      </c>
    </row>
    <row r="71" spans="1:75" ht="13" thickBot="1" x14ac:dyDescent="0.3">
      <c r="A71" s="20">
        <f>IF('Stage 15'!A71&lt;&gt;0,'Stage 15'!A71,IF(S71&gt;=$M$3,"Elected",IF(BP22&lt;&gt;0,"Excluded",0)))</f>
        <v>0</v>
      </c>
      <c r="B71" s="235">
        <f>'Stage 15'!B71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159">
        <f t="shared" si="42"/>
        <v>0</v>
      </c>
      <c r="S71" s="39">
        <f t="shared" si="43"/>
        <v>0</v>
      </c>
      <c r="T71" s="157"/>
      <c r="U71" s="37"/>
      <c r="V71" s="157"/>
      <c r="W71" s="37"/>
    </row>
    <row r="72" spans="1:75" ht="13" thickBot="1" x14ac:dyDescent="0.3">
      <c r="A72" s="20">
        <f>IF('Stage 15'!A72&lt;&gt;0,'Stage 15'!A72,IF(S72&gt;=$M$3,"Elected",IF(BP23&lt;&gt;0,"Excluded",0)))</f>
        <v>0</v>
      </c>
      <c r="B72" s="235">
        <f>'Stage 15'!B72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159">
        <f t="shared" si="42"/>
        <v>0</v>
      </c>
      <c r="S72" s="39">
        <f t="shared" si="43"/>
        <v>0</v>
      </c>
      <c r="T72" s="157"/>
      <c r="U72" s="37"/>
      <c r="V72" s="157"/>
      <c r="W72" s="37"/>
    </row>
    <row r="73" spans="1:75" ht="13" thickBot="1" x14ac:dyDescent="0.3">
      <c r="A73" s="20">
        <f>IF('Stage 15'!A73&lt;&gt;0,'Stage 15'!A73,IF(S73&gt;=$M$3,"Elected",IF(BP24&lt;&gt;0,"Excluded",0)))</f>
        <v>0</v>
      </c>
      <c r="B73" s="235">
        <f>'Stage 15'!B73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159">
        <f t="shared" si="42"/>
        <v>0</v>
      </c>
      <c r="S73" s="39">
        <f t="shared" si="43"/>
        <v>0</v>
      </c>
      <c r="T73" s="157"/>
      <c r="U73" s="37"/>
      <c r="V73" s="157"/>
      <c r="W73" s="37"/>
    </row>
    <row r="74" spans="1:75" ht="13" thickBot="1" x14ac:dyDescent="0.3">
      <c r="A74" s="20">
        <f>IF('Stage 15'!A74&lt;&gt;0,'Stage 15'!A74,IF(S74&gt;=$M$3,"Elected",IF(BP25&lt;&gt;0,"Excluded",0)))</f>
        <v>0</v>
      </c>
      <c r="B74" s="235">
        <f>'Stage 15'!B74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159">
        <f t="shared" si="42"/>
        <v>0</v>
      </c>
      <c r="S74" s="39">
        <f t="shared" si="43"/>
        <v>0</v>
      </c>
      <c r="T74" s="157"/>
      <c r="U74" s="37"/>
      <c r="V74" s="157"/>
      <c r="W74" s="37"/>
    </row>
    <row r="75" spans="1:75" ht="13" thickBot="1" x14ac:dyDescent="0.3">
      <c r="A75" s="20">
        <f>IF('Stage 15'!A75&lt;&gt;0,'Stage 15'!A75,IF(S75&gt;=$M$3,"Elected",IF(BP26&lt;&gt;0,"Excluded",0)))</f>
        <v>0</v>
      </c>
      <c r="B75" s="235">
        <f>'Stage 15'!B75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159">
        <f t="shared" si="42"/>
        <v>0</v>
      </c>
      <c r="S75" s="39">
        <f t="shared" si="43"/>
        <v>0</v>
      </c>
      <c r="T75" s="157"/>
      <c r="U75" s="37"/>
      <c r="V75" s="157"/>
      <c r="W75" s="37"/>
    </row>
    <row r="76" spans="1:75" ht="13" thickBot="1" x14ac:dyDescent="0.3">
      <c r="A76" s="21">
        <f>IF('Stage 15'!A76&lt;&gt;0,'Stage 15'!A76,IF(S76&gt;=$M$3,"Elected",IF(BP27&lt;&gt;0,"Excluded",0)))</f>
        <v>0</v>
      </c>
      <c r="B76" s="235">
        <f>'Stage 15'!B76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159">
        <f t="shared" si="42"/>
        <v>0</v>
      </c>
      <c r="S76" s="39">
        <f t="shared" si="43"/>
        <v>0</v>
      </c>
      <c r="T76" s="157"/>
      <c r="U76" s="37"/>
      <c r="V76" s="157"/>
      <c r="W76" s="37"/>
    </row>
    <row r="77" spans="1:75" ht="13" thickBot="1" x14ac:dyDescent="0.3">
      <c r="D77" s="25" t="s">
        <v>118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$BK69</f>
        <v>0</v>
      </c>
      <c r="S77" s="41">
        <f t="shared" si="43"/>
        <v>0</v>
      </c>
      <c r="T77" s="157"/>
      <c r="U77" s="37"/>
      <c r="V77" s="157"/>
      <c r="W77" s="37"/>
    </row>
    <row r="78" spans="1:75" ht="13" thickBot="1" x14ac:dyDescent="0.3">
      <c r="D78" s="42" t="s">
        <v>119</v>
      </c>
      <c r="E78" s="45">
        <f>SUM(E57:E76)</f>
        <v>7496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50">
        <f>SUM(S57:S77)</f>
        <v>0</v>
      </c>
      <c r="T78" s="202"/>
      <c r="U78" s="37"/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t="str">
        <f>IF(S78=$G50,"Totals Correct","ERROR")</f>
        <v>ERROR</v>
      </c>
    </row>
    <row r="80" spans="1:75" ht="13" thickBot="1" x14ac:dyDescent="0.3">
      <c r="D80" s="222" t="s">
        <v>120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183"/>
      <c r="T80" s="219"/>
      <c r="U80" s="185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322</v>
      </c>
      <c r="DF210" s="231" t="s">
        <v>221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R57</f>
        <v>0</v>
      </c>
      <c r="DF211" s="233">
        <f>S57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FLYNN</v>
      </c>
      <c r="DC212" s="232" t="str">
        <f t="shared" si="49"/>
        <v>Sinn Féin</v>
      </c>
      <c r="DD212" s="233">
        <f t="shared" si="49"/>
        <v>493</v>
      </c>
      <c r="DE212" s="233">
        <f t="shared" ref="DE212:DF212" si="50">R58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FRENCH</v>
      </c>
      <c r="DC213" s="232" t="str">
        <f t="shared" si="49"/>
        <v xml:space="preserve">SDLP </v>
      </c>
      <c r="DD213" s="233">
        <f t="shared" si="49"/>
        <v>472</v>
      </c>
      <c r="DE213" s="233">
        <f t="shared" ref="DE213:DF213" si="51">R59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GIVAN</v>
      </c>
      <c r="DC214" s="232" t="str">
        <f t="shared" si="49"/>
        <v>D.U.P.</v>
      </c>
      <c r="DD214" s="233">
        <f t="shared" si="49"/>
        <v>1038</v>
      </c>
      <c r="DE214" s="233">
        <f t="shared" ref="DE214:DF214" si="52">R60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E2</v>
      </c>
      <c r="DB215" s="232" t="str">
        <f t="shared" si="49"/>
        <v>GREHAN</v>
      </c>
      <c r="DC215" s="232" t="str">
        <f t="shared" si="49"/>
        <v>Alliance Party</v>
      </c>
      <c r="DD215" s="233">
        <f t="shared" si="49"/>
        <v>1111</v>
      </c>
      <c r="DE215" s="233">
        <f t="shared" ref="DE215:DF215" si="53">R61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E4</v>
      </c>
      <c r="DB216" s="232" t="str">
        <f t="shared" si="49"/>
        <v>KENNEDY</v>
      </c>
      <c r="DC216" s="232" t="str">
        <f t="shared" si="49"/>
        <v>Alliance Party</v>
      </c>
      <c r="DD216" s="233">
        <f t="shared" si="49"/>
        <v>674</v>
      </c>
      <c r="DE216" s="233">
        <f t="shared" ref="DE216:DF216" si="54">R62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MCEVOY</v>
      </c>
      <c r="DC217" s="232" t="str">
        <f t="shared" si="49"/>
        <v xml:space="preserve">TUV </v>
      </c>
      <c r="DD217" s="233">
        <f t="shared" si="49"/>
        <v>387</v>
      </c>
      <c r="DE217" s="233">
        <f t="shared" ref="DE217:DF217" si="55">R63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5</v>
      </c>
      <c r="DB218" s="232" t="str">
        <f t="shared" si="49"/>
        <v>MITCHELL</v>
      </c>
      <c r="DC218" s="232" t="str">
        <f t="shared" si="49"/>
        <v>UUP</v>
      </c>
      <c r="DD218" s="233">
        <f t="shared" si="49"/>
        <v>870</v>
      </c>
      <c r="DE218" s="233">
        <f t="shared" ref="DE218:DF218" si="56">R64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PALMER</v>
      </c>
      <c r="DC219" s="232" t="str">
        <f t="shared" si="49"/>
        <v>UUP</v>
      </c>
      <c r="DD219" s="233">
        <f t="shared" si="49"/>
        <v>625</v>
      </c>
      <c r="DE219" s="233">
        <f t="shared" ref="DE219:DF219" si="57">R65</f>
        <v>0</v>
      </c>
      <c r="DF219" s="233">
        <f t="shared" si="57"/>
        <v>0</v>
      </c>
    </row>
    <row r="220" spans="105:110" ht="15.5" x14ac:dyDescent="0.35">
      <c r="DA220" s="232" t="str">
        <f t="shared" si="48"/>
        <v>6</v>
      </c>
      <c r="DB220" s="232" t="str">
        <f t="shared" si="49"/>
        <v>PORTER</v>
      </c>
      <c r="DC220" s="232" t="str">
        <f t="shared" si="49"/>
        <v>D.U.P.</v>
      </c>
      <c r="DD220" s="233">
        <f t="shared" si="49"/>
        <v>687</v>
      </c>
      <c r="DE220" s="233">
        <f t="shared" ref="DE220:DF220" si="58">R66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R67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R68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R69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R70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R71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R72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R73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R74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R75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R76</f>
        <v>0</v>
      </c>
      <c r="DF230" s="233">
        <f t="shared" si="69"/>
        <v>0</v>
      </c>
    </row>
    <row r="231" spans="105:110" ht="15.5" x14ac:dyDescent="0.35">
      <c r="DC231" s="234" t="s">
        <v>123</v>
      </c>
      <c r="DD231" s="234"/>
      <c r="DE231" s="233">
        <f t="shared" ref="DE231:DF231" si="70">R77</f>
        <v>0</v>
      </c>
      <c r="DF231" s="233">
        <f t="shared" si="70"/>
        <v>0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 t="shared" ref="DF232" si="71">S78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S80" name="Range20"/>
    <protectedRange sqref="AQ5" name="Range3_1"/>
  </protectedRanges>
  <mergeCells count="129">
    <mergeCell ref="BI30:BK31"/>
    <mergeCell ref="BX30:BY32"/>
    <mergeCell ref="CB31:CE32"/>
    <mergeCell ref="Z6:AF7"/>
    <mergeCell ref="AL28:AQ29"/>
    <mergeCell ref="AL31:AQ32"/>
    <mergeCell ref="AJ25:AK25"/>
    <mergeCell ref="AJ24:AK24"/>
    <mergeCell ref="AO24:AP24"/>
    <mergeCell ref="AO25:AP25"/>
    <mergeCell ref="BF30:BG3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O23:AP23"/>
    <mergeCell ref="AK6:AP7"/>
    <mergeCell ref="AM13:AM17"/>
    <mergeCell ref="AO13:AO17"/>
    <mergeCell ref="AQ13:AQ17"/>
    <mergeCell ref="T55:U55"/>
    <mergeCell ref="V55:W55"/>
    <mergeCell ref="K49:L49"/>
    <mergeCell ref="T52:U52"/>
    <mergeCell ref="V52:W52"/>
    <mergeCell ref="T53:U53"/>
    <mergeCell ref="V53:W53"/>
    <mergeCell ref="N55:O55"/>
    <mergeCell ref="P55:Q55"/>
    <mergeCell ref="R55:S55"/>
    <mergeCell ref="U50:W50"/>
    <mergeCell ref="T54:U54"/>
    <mergeCell ref="V54:W54"/>
    <mergeCell ref="N54:O54"/>
    <mergeCell ref="P54:Q54"/>
    <mergeCell ref="R54:S54"/>
    <mergeCell ref="N53:O53"/>
    <mergeCell ref="P53:Q53"/>
    <mergeCell ref="R53:S53"/>
    <mergeCell ref="O49:S49"/>
    <mergeCell ref="O50:S50"/>
    <mergeCell ref="F54:G54"/>
    <mergeCell ref="H54:I54"/>
    <mergeCell ref="J54:K54"/>
    <mergeCell ref="L54:M54"/>
    <mergeCell ref="F55:G55"/>
    <mergeCell ref="H55:I55"/>
    <mergeCell ref="J55:K55"/>
    <mergeCell ref="L55:M55"/>
    <mergeCell ref="F53:G53"/>
    <mergeCell ref="H53:I53"/>
    <mergeCell ref="J53:K53"/>
    <mergeCell ref="L53:M53"/>
    <mergeCell ref="E49:F49"/>
    <mergeCell ref="H49:I49"/>
    <mergeCell ref="F52:G52"/>
    <mergeCell ref="H52:I52"/>
    <mergeCell ref="J52:K52"/>
    <mergeCell ref="L52:M52"/>
    <mergeCell ref="P52:Q52"/>
    <mergeCell ref="R52:S52"/>
    <mergeCell ref="N52:O52"/>
    <mergeCell ref="E3:F3"/>
    <mergeCell ref="O2:S2"/>
    <mergeCell ref="K47:L47"/>
    <mergeCell ref="K1:L1"/>
    <mergeCell ref="H3:I3"/>
    <mergeCell ref="O4:S4"/>
    <mergeCell ref="O3:S3"/>
    <mergeCell ref="H4:I4"/>
    <mergeCell ref="Z2:AF2"/>
    <mergeCell ref="V6:W6"/>
    <mergeCell ref="V7:W7"/>
    <mergeCell ref="Z3:AF3"/>
    <mergeCell ref="N9:O9"/>
    <mergeCell ref="F8:G8"/>
    <mergeCell ref="H8:I8"/>
    <mergeCell ref="Z4:AF4"/>
    <mergeCell ref="L7:M7"/>
    <mergeCell ref="E4:F4"/>
    <mergeCell ref="F6:G6"/>
    <mergeCell ref="H6:I6"/>
    <mergeCell ref="F7:G7"/>
    <mergeCell ref="H7:I7"/>
    <mergeCell ref="F9:G9"/>
    <mergeCell ref="H9:I9"/>
    <mergeCell ref="AL3:AQ3"/>
    <mergeCell ref="CB2:CE2"/>
    <mergeCell ref="BI3:BK3"/>
    <mergeCell ref="BI2:BK2"/>
    <mergeCell ref="BT3:BZ3"/>
    <mergeCell ref="J8:K8"/>
    <mergeCell ref="L8:M8"/>
    <mergeCell ref="N8:O8"/>
    <mergeCell ref="J6:K6"/>
    <mergeCell ref="J7:K7"/>
    <mergeCell ref="L6:M6"/>
    <mergeCell ref="N6:O6"/>
    <mergeCell ref="N7:O7"/>
    <mergeCell ref="U4:W4"/>
    <mergeCell ref="U2:W3"/>
    <mergeCell ref="DE209:DF209"/>
    <mergeCell ref="J9:K9"/>
    <mergeCell ref="L9:M9"/>
    <mergeCell ref="V8:W8"/>
    <mergeCell ref="P8:Q8"/>
    <mergeCell ref="AP13:AP17"/>
    <mergeCell ref="AN13:AN19"/>
    <mergeCell ref="BP5:BP7"/>
    <mergeCell ref="AQ6:AR7"/>
    <mergeCell ref="AQ9:AR10"/>
    <mergeCell ref="AK9:AP10"/>
    <mergeCell ref="AL13:AL17"/>
    <mergeCell ref="P7:Q7"/>
    <mergeCell ref="P6:Q6"/>
    <mergeCell ref="R8:S8"/>
    <mergeCell ref="R7:S7"/>
    <mergeCell ref="R6:S6"/>
    <mergeCell ref="T6:U6"/>
    <mergeCell ref="T7:U7"/>
    <mergeCell ref="T8:U8"/>
    <mergeCell ref="P9:Q9"/>
    <mergeCell ref="R9:S9"/>
    <mergeCell ref="T9:U9"/>
    <mergeCell ref="O48:S48"/>
  </mergeCells>
  <phoneticPr fontId="0" type="noConversion"/>
  <conditionalFormatting sqref="AL3">
    <cfRule type="cellIs" dxfId="23" priority="1" stopIfTrue="1" operator="notEqual">
      <formula>0</formula>
    </cfRule>
  </conditionalFormatting>
  <conditionalFormatting sqref="BF30:BG31">
    <cfRule type="cellIs" dxfId="22" priority="2" stopIfTrue="1" operator="equal">
      <formula>"NONE"</formula>
    </cfRule>
    <cfRule type="cellIs" dxfId="21" priority="3" stopIfTrue="1" operator="notEqual">
      <formula>"NONE"</formula>
    </cfRule>
  </conditionalFormatting>
  <conditionalFormatting sqref="BX30">
    <cfRule type="cellIs" dxfId="20" priority="4" stopIfTrue="1" operator="equal">
      <formula>"Calculations OK"</formula>
    </cfRule>
    <cfRule type="cellIs" dxfId="19" priority="5" stopIfTrue="1" operator="equal">
      <formula>"Check Count for Error"</formula>
    </cfRule>
  </conditionalFormatting>
  <conditionalFormatting sqref="V50:W50 V4:W4">
    <cfRule type="cellIs" dxfId="18" priority="6" stopIfTrue="1" operator="equal">
      <formula>"Totals Correct"</formula>
    </cfRule>
    <cfRule type="cellIs" dxfId="17" priority="7" stopIfTrue="1" operator="equal">
      <formula>"ERROR"</formula>
    </cfRule>
  </conditionalFormatting>
  <conditionalFormatting sqref="U50 U4">
    <cfRule type="cellIs" dxfId="16" priority="8" stopIfTrue="1" operator="equal">
      <formula>"OK TO MOVE TO NEXT STAGE"</formula>
    </cfRule>
    <cfRule type="cellIs" dxfId="15" priority="9" stopIfTrue="1" operator="equal">
      <formula>"DO NOT MOVE TO NEXT STAGE"</formula>
    </cfRule>
  </conditionalFormatting>
  <hyperlinks>
    <hyperlink ref="Z6:AF7" location="'Stage 15'!A83:W83" display="BACK to Overview of STAGE 15"/>
    <hyperlink ref="AL28" location="'Stage 2'!BI1" display="MOVE TO TRANSFER OF SURPLUS VOTES FORM"/>
    <hyperlink ref="AL31" location="'Stage 2'!CC1" display="MOVE TO EXCLUDE CANDIDATE FORM"/>
    <hyperlink ref="AL28:AQ29" location="'Stage 16'!AY1:BK1" display="MOVE TO TRANSFER OF SURPLUS VOTES FORM"/>
    <hyperlink ref="AL31:AQ32" location="'Stage 16'!BN1:CE1" display="MOVE TO EXCLUDE CANDIDATE FORM"/>
    <hyperlink ref="BI3:BK3" location="'Stage 16'!Y1:AR1" display="BACK to DECISION FORM"/>
    <hyperlink ref="BI30:BK31" location="'Stage 16'!A83:W83" display="FORWARD to OVERVIEW OF STAGE 16"/>
    <hyperlink ref="CB2" location="'Stage 2'!AQ5" display="MOVE TO NEXT FORM"/>
    <hyperlink ref="CB2:CE2" location="'Stage 16'!Y1:AR1" display="BACK to DECISION FORM"/>
    <hyperlink ref="CB31" location="'Stage 2'!A1" display="HOME TO OVERVIEW OF STAGE 2"/>
    <hyperlink ref="CB31:CE32" location="'Stage 16'!A83:W83" display="FORWARD to OVERVIEW OF STAGE 16"/>
    <hyperlink ref="O50" location="'Stage 3'!A1" display="MOVE TO STAGE 3"/>
    <hyperlink ref="O48" location="'Stage 3'!A1" display="MOVE TO STAGE 3"/>
    <hyperlink ref="O48:S48" location="'Stage 16'!Y1:AR1" display="BACK to DECISION FORM Stage 16"/>
    <hyperlink ref="O50:S50" location="'Stage 17'!Y1:AR1" display="FORWARD TO STAGE 17"/>
    <hyperlink ref="O4" location="'Stage 3'!A1" display="MOVE TO STAGE 3"/>
    <hyperlink ref="O2" location="'Stage 3'!A1" display="MOVE TO STAGE 3"/>
    <hyperlink ref="O2:S2" location="'Stage 16'!Y1:AR1" display="BACK to DECISION FORM Stage 16"/>
    <hyperlink ref="O4:S4" location="'Stage 17'!Y1:AR1" display="FORWARD TO STAGE 17"/>
    <hyperlink ref="O3:S3" location="'Stage 16'!A83:W83" display="OVERVIEW OF STAGES 10 - 16"/>
    <hyperlink ref="O49:S49" location="'Stage 16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BG50"/>
  <sheetViews>
    <sheetView showGridLines="0" zoomScale="75" workbookViewId="0">
      <selection activeCell="E6" sqref="E6:J7"/>
    </sheetView>
  </sheetViews>
  <sheetFormatPr defaultRowHeight="12.5" x14ac:dyDescent="0.25"/>
  <cols>
    <col min="1" max="1" width="3.6328125" customWidth="1"/>
    <col min="2" max="2" width="28.90625" customWidth="1"/>
    <col min="3" max="3" width="48.54296875" customWidth="1"/>
  </cols>
  <sheetData>
    <row r="1" spans="2:59" x14ac:dyDescent="0.25">
      <c r="L1" t="s">
        <v>36</v>
      </c>
    </row>
    <row r="2" spans="2:59" ht="13" thickBot="1" x14ac:dyDescent="0.3">
      <c r="B2" s="74" t="s">
        <v>37</v>
      </c>
      <c r="C2" s="78">
        <v>45064</v>
      </c>
      <c r="L2" t="s">
        <v>38</v>
      </c>
    </row>
    <row r="3" spans="2:59" x14ac:dyDescent="0.25">
      <c r="C3" s="79"/>
      <c r="D3" s="74"/>
      <c r="E3" s="267" t="s">
        <v>39</v>
      </c>
      <c r="F3" s="268"/>
      <c r="G3" s="268"/>
      <c r="H3" s="268"/>
      <c r="I3" s="268"/>
      <c r="J3" s="269"/>
    </row>
    <row r="4" spans="2:59" ht="13" thickBot="1" x14ac:dyDescent="0.3">
      <c r="B4" s="74" t="s">
        <v>40</v>
      </c>
      <c r="C4" s="80" t="s">
        <v>41</v>
      </c>
      <c r="D4" s="74"/>
      <c r="E4" s="270"/>
      <c r="F4" s="271"/>
      <c r="G4" s="271"/>
      <c r="H4" s="271"/>
      <c r="I4" s="271"/>
      <c r="J4" s="272"/>
    </row>
    <row r="5" spans="2:59" ht="16" thickBot="1" x14ac:dyDescent="0.3">
      <c r="C5" s="79"/>
      <c r="D5" s="74"/>
      <c r="E5" s="194"/>
      <c r="F5" s="194"/>
      <c r="G5" s="194"/>
      <c r="H5" s="194"/>
      <c r="I5" s="194"/>
      <c r="J5" s="194"/>
    </row>
    <row r="6" spans="2:59" ht="28" x14ac:dyDescent="0.6">
      <c r="B6" s="182" t="s">
        <v>36</v>
      </c>
      <c r="C6" s="243" t="s">
        <v>42</v>
      </c>
      <c r="D6" s="74"/>
      <c r="E6" s="267" t="s">
        <v>43</v>
      </c>
      <c r="F6" s="268"/>
      <c r="G6" s="268"/>
      <c r="H6" s="268"/>
      <c r="I6" s="268"/>
      <c r="J6" s="269"/>
      <c r="BA6" s="273" t="str">
        <f>IF(C6&lt;&gt;"",C6,"")</f>
        <v>Lisburn South</v>
      </c>
      <c r="BB6" s="274"/>
      <c r="BC6" s="274"/>
      <c r="BD6" s="274"/>
      <c r="BE6" s="274"/>
      <c r="BF6" s="274"/>
      <c r="BG6" s="274"/>
    </row>
    <row r="7" spans="2:59" ht="13" thickBot="1" x14ac:dyDescent="0.3">
      <c r="B7" s="74"/>
      <c r="C7" s="79"/>
      <c r="D7" s="74"/>
      <c r="E7" s="270"/>
      <c r="F7" s="271"/>
      <c r="G7" s="271"/>
      <c r="H7" s="271"/>
      <c r="I7" s="271"/>
      <c r="J7" s="272"/>
    </row>
    <row r="8" spans="2:59" ht="15.5" x14ac:dyDescent="0.25">
      <c r="B8" s="74" t="s">
        <v>44</v>
      </c>
      <c r="C8" s="79" t="s">
        <v>45</v>
      </c>
      <c r="E8" s="194"/>
      <c r="F8" s="194"/>
      <c r="G8" s="194"/>
      <c r="H8" s="194"/>
      <c r="I8" s="194"/>
      <c r="J8" s="194"/>
    </row>
    <row r="9" spans="2:59" ht="15.5" x14ac:dyDescent="0.25">
      <c r="B9" s="182" t="s">
        <v>46</v>
      </c>
      <c r="C9" s="80" t="s">
        <v>47</v>
      </c>
      <c r="E9" s="194"/>
      <c r="F9" s="194"/>
      <c r="G9" s="194"/>
      <c r="H9" s="194"/>
      <c r="I9" s="194"/>
      <c r="J9" s="194"/>
    </row>
    <row r="10" spans="2:59" x14ac:dyDescent="0.25">
      <c r="B10" s="64" t="s">
        <v>48</v>
      </c>
      <c r="C10" s="56" t="s">
        <v>49</v>
      </c>
    </row>
    <row r="11" spans="2:59" x14ac:dyDescent="0.25">
      <c r="B11" s="64" t="s">
        <v>50</v>
      </c>
      <c r="C11" s="56" t="s">
        <v>51</v>
      </c>
    </row>
    <row r="12" spans="2:59" x14ac:dyDescent="0.25">
      <c r="B12" s="64" t="s">
        <v>52</v>
      </c>
      <c r="C12" s="56" t="s">
        <v>47</v>
      </c>
    </row>
    <row r="13" spans="2:59" x14ac:dyDescent="0.25">
      <c r="B13" s="56" t="s">
        <v>53</v>
      </c>
      <c r="C13" s="56" t="s">
        <v>54</v>
      </c>
    </row>
    <row r="14" spans="2:59" x14ac:dyDescent="0.25">
      <c r="B14" s="56" t="s">
        <v>55</v>
      </c>
      <c r="C14" s="56" t="s">
        <v>54</v>
      </c>
    </row>
    <row r="15" spans="2:59" x14ac:dyDescent="0.25">
      <c r="B15" s="56" t="s">
        <v>56</v>
      </c>
      <c r="C15" s="56" t="s">
        <v>57</v>
      </c>
    </row>
    <row r="16" spans="2:59" x14ac:dyDescent="0.25">
      <c r="B16" s="56" t="s">
        <v>58</v>
      </c>
      <c r="C16" s="56" t="s">
        <v>59</v>
      </c>
    </row>
    <row r="17" spans="2:4" x14ac:dyDescent="0.25">
      <c r="B17" s="80" t="s">
        <v>60</v>
      </c>
      <c r="C17" s="56" t="s">
        <v>59</v>
      </c>
    </row>
    <row r="18" spans="2:4" x14ac:dyDescent="0.25">
      <c r="B18" s="182" t="s">
        <v>61</v>
      </c>
      <c r="C18" s="56" t="s">
        <v>47</v>
      </c>
    </row>
    <row r="19" spans="2:4" x14ac:dyDescent="0.25">
      <c r="B19" s="64"/>
      <c r="C19" s="56"/>
    </row>
    <row r="20" spans="2:4" x14ac:dyDescent="0.25">
      <c r="B20" s="64"/>
      <c r="C20" s="56"/>
    </row>
    <row r="21" spans="2:4" x14ac:dyDescent="0.25">
      <c r="B21" s="64"/>
      <c r="C21" s="56"/>
    </row>
    <row r="22" spans="2:4" x14ac:dyDescent="0.25">
      <c r="B22" s="64"/>
      <c r="C22" s="56"/>
    </row>
    <row r="23" spans="2:4" x14ac:dyDescent="0.25">
      <c r="B23" s="64"/>
      <c r="C23" s="56"/>
    </row>
    <row r="24" spans="2:4" x14ac:dyDescent="0.25">
      <c r="B24" s="64"/>
      <c r="C24" s="56"/>
    </row>
    <row r="25" spans="2:4" x14ac:dyDescent="0.25">
      <c r="B25" s="64"/>
      <c r="C25" s="56"/>
    </row>
    <row r="26" spans="2:4" x14ac:dyDescent="0.25">
      <c r="B26" s="64"/>
      <c r="C26" s="56"/>
    </row>
    <row r="27" spans="2:4" x14ac:dyDescent="0.25">
      <c r="B27" s="64"/>
      <c r="C27" s="56"/>
    </row>
    <row r="28" spans="2:4" x14ac:dyDescent="0.25">
      <c r="B28" s="64"/>
      <c r="C28" s="56"/>
    </row>
    <row r="30" spans="2:4" x14ac:dyDescent="0.25">
      <c r="B30" t="s">
        <v>62</v>
      </c>
      <c r="C30" s="56">
        <v>6</v>
      </c>
    </row>
    <row r="31" spans="2:4" x14ac:dyDescent="0.25">
      <c r="B31" t="s">
        <v>63</v>
      </c>
      <c r="C31" s="56">
        <v>16838</v>
      </c>
      <c r="D31" s="74"/>
    </row>
    <row r="36" spans="2:9" x14ac:dyDescent="0.25">
      <c r="B36" s="74"/>
    </row>
    <row r="37" spans="2:9" x14ac:dyDescent="0.25">
      <c r="B37" s="91"/>
    </row>
    <row r="38" spans="2:9" x14ac:dyDescent="0.25">
      <c r="C38" s="223"/>
      <c r="I38" s="223"/>
    </row>
    <row r="39" spans="2:9" x14ac:dyDescent="0.25">
      <c r="C39" s="223"/>
      <c r="I39" s="223"/>
    </row>
    <row r="40" spans="2:9" x14ac:dyDescent="0.25">
      <c r="C40" s="223"/>
      <c r="I40" s="223"/>
    </row>
    <row r="41" spans="2:9" x14ac:dyDescent="0.25">
      <c r="C41" s="223"/>
      <c r="I41" s="223"/>
    </row>
    <row r="42" spans="2:9" x14ac:dyDescent="0.25">
      <c r="C42" s="223"/>
      <c r="I42" s="223"/>
    </row>
    <row r="43" spans="2:9" x14ac:dyDescent="0.25">
      <c r="C43" s="223"/>
      <c r="I43" s="223"/>
    </row>
    <row r="44" spans="2:9" x14ac:dyDescent="0.25">
      <c r="C44" s="223"/>
      <c r="I44" s="223"/>
    </row>
    <row r="45" spans="2:9" x14ac:dyDescent="0.25">
      <c r="C45" s="223"/>
      <c r="I45" s="223"/>
    </row>
    <row r="46" spans="2:9" x14ac:dyDescent="0.25">
      <c r="C46" s="223"/>
      <c r="I46" s="223"/>
    </row>
    <row r="47" spans="2:9" x14ac:dyDescent="0.25">
      <c r="C47" s="223"/>
      <c r="I47" s="223"/>
    </row>
    <row r="48" spans="2:9" x14ac:dyDescent="0.25">
      <c r="C48" s="223"/>
      <c r="I48" s="223"/>
    </row>
    <row r="49" spans="3:9" x14ac:dyDescent="0.25">
      <c r="C49" s="223"/>
      <c r="I49" s="223"/>
    </row>
    <row r="50" spans="3:9" x14ac:dyDescent="0.25">
      <c r="C50" s="223"/>
      <c r="I50" s="223"/>
    </row>
  </sheetData>
  <sheetProtection sheet="1" objects="1" scenarios="1"/>
  <protectedRanges>
    <protectedRange sqref="B6" name="Range6"/>
    <protectedRange sqref="B9:C28" name="Range1"/>
    <protectedRange sqref="C2" name="Range2"/>
    <protectedRange sqref="C4" name="Range3"/>
    <protectedRange sqref="C6" name="Range4"/>
    <protectedRange sqref="C30:C31" name="Range5"/>
  </protectedRanges>
  <mergeCells count="3">
    <mergeCell ref="E3:J4"/>
    <mergeCell ref="E6:J7"/>
    <mergeCell ref="BA6:BG6"/>
  </mergeCells>
  <phoneticPr fontId="10" type="noConversion"/>
  <dataValidations count="1">
    <dataValidation type="list" allowBlank="1" showInputMessage="1" showErrorMessage="1" sqref="B6">
      <formula1>$L$1:$L$2</formula1>
    </dataValidation>
  </dataValidations>
  <hyperlinks>
    <hyperlink ref="E6" location="'Stage 3'!A1" display="MOVE TO STAGE 3"/>
    <hyperlink ref="E3" location="'Stage 3'!A1" display="MOVE TO STAGE 3"/>
    <hyperlink ref="E6:J7" location="'Verification of Boxes'!A1:R1" display="VERIFICATION OF BOXES &amp; FIRST PREFERENCE"/>
    <hyperlink ref="E3:J4" location="'Instructions Rules'!A1" display="BACK TO INSTRUCTIONS"/>
  </hyperlinks>
  <pageMargins left="0.75" right="0.75" top="1" bottom="1" header="0.5" footer="0.5"/>
  <pageSetup orientation="portrait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DF232"/>
  <sheetViews>
    <sheetView showGridLines="0" showZeros="0" zoomScale="75" workbookViewId="0">
      <selection activeCell="T53" sqref="T53:U53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6.453125" customWidth="1"/>
    <col min="25" max="25" width="4.0898437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" customWidth="1"/>
    <col min="43" max="43" width="10.54296875" customWidth="1"/>
    <col min="44" max="44" width="17" customWidth="1"/>
    <col min="45" max="45" width="226" customWidth="1"/>
    <col min="50" max="50" width="225.63281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20.54296875" customWidth="1"/>
    <col min="67" max="67" width="9.6328125" customWidth="1"/>
    <col min="68" max="68" width="7.0898437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285</v>
      </c>
      <c r="J1" s="85" t="s">
        <v>37</v>
      </c>
      <c r="K1" s="319">
        <f>'Basic Input'!C2</f>
        <v>45064</v>
      </c>
      <c r="L1" s="319"/>
      <c r="Z1" s="10" t="s">
        <v>323</v>
      </c>
      <c r="AQ1" s="33"/>
      <c r="AZ1" s="10" t="s">
        <v>126</v>
      </c>
      <c r="BE1" s="34" t="str">
        <f>IF(AT5="T","COMPLETE THIS FORM","YOU HAVE NOT SELECTED TO COMPLETE THIS FORM")</f>
        <v>YOU HAVE NOT SELECTED TO COMPLETE THIS FORM</v>
      </c>
      <c r="BR1" s="10" t="s">
        <v>127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324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I2" s="313"/>
      <c r="BJ2" s="313"/>
      <c r="BK2" s="313"/>
      <c r="BR2" s="36" t="s">
        <v>285</v>
      </c>
      <c r="CB2" s="345" t="s">
        <v>131</v>
      </c>
      <c r="CC2" s="346"/>
      <c r="CD2" s="346"/>
      <c r="CE2" s="347"/>
    </row>
    <row r="3" spans="1:105" ht="18.5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76" t="s">
        <v>325</v>
      </c>
      <c r="P3" s="377"/>
      <c r="Q3" s="377"/>
      <c r="R3" s="377"/>
      <c r="S3" s="378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0</v>
      </c>
      <c r="AJ3" s="163"/>
      <c r="AK3" s="163"/>
      <c r="AL3" s="352">
        <f>IF(AQ5="n","MOVE TO EXCLUDE CANDIDATE FORM",IF(AQ5="y","MOVE TO TRANSFER OF SURPLUS VOTES FORM",0))</f>
        <v>0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L3" s="114"/>
      <c r="BR3" s="81" t="s">
        <v>133</v>
      </c>
      <c r="BS3" s="82"/>
      <c r="BT3" s="348"/>
      <c r="BU3" s="349"/>
      <c r="BV3" s="349"/>
      <c r="BW3" s="349"/>
      <c r="BX3" s="349"/>
      <c r="BY3" s="349"/>
      <c r="BZ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326</v>
      </c>
      <c r="P4" s="346"/>
      <c r="Q4" s="346"/>
      <c r="R4" s="346"/>
      <c r="S4" s="347"/>
      <c r="U4" s="311" t="str">
        <f>IF(U33="ERROR","DO NOT MOVE TO NEXT STAGE","OK TO MOVE TO NEXT STAGE")</f>
        <v>DO NOT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IF(C57=0,0,IF(S57=0,"Excluded",0))</f>
        <v>Excluded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27" t="s">
        <v>327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Transfer</v>
      </c>
      <c r="AR6" s="302"/>
      <c r="AS6" s="181"/>
      <c r="AT6" s="91"/>
      <c r="AU6" s="91"/>
      <c r="AW6" s="33"/>
      <c r="AX6" s="33"/>
      <c r="AZ6" s="36" t="s">
        <v>285</v>
      </c>
      <c r="BA6" s="245"/>
      <c r="BE6" s="61" t="str">
        <f>'Verification of Boxes'!J11</f>
        <v>FLYNN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4" si="2">IF(C58=0,0,IF(S58=0,"Excluded",0))</f>
        <v>Excluded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Exclude</v>
      </c>
      <c r="U7" s="362"/>
      <c r="V7" s="361">
        <f>'Stage 10'!V7:W7</f>
        <v>0</v>
      </c>
      <c r="W7" s="362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EWING</v>
      </c>
      <c r="G8" s="364"/>
      <c r="H8" s="359" t="str">
        <f>'Stage 3'!H8:I8</f>
        <v xml:space="preserve"> MCEVOY</v>
      </c>
      <c r="I8" s="360"/>
      <c r="J8" s="359" t="str">
        <f>'Stage 4'!J8:K8</f>
        <v>GREHAN</v>
      </c>
      <c r="K8" s="360"/>
      <c r="L8" s="359" t="str">
        <f>'Stage 5'!L8:M8</f>
        <v>GIVAN</v>
      </c>
      <c r="M8" s="360"/>
      <c r="N8" s="359" t="str">
        <f>'Stage 6'!N8:O8</f>
        <v>FRENCH</v>
      </c>
      <c r="O8" s="360"/>
      <c r="P8" s="359" t="str">
        <f>'Stage 7'!P8:Q8</f>
        <v>FLYNN</v>
      </c>
      <c r="Q8" s="360"/>
      <c r="R8" s="359" t="str">
        <f>'Stage 8'!R8:S8</f>
        <v>KENNEDY</v>
      </c>
      <c r="S8" s="360"/>
      <c r="T8" s="359" t="str">
        <f>'Stage 9'!T8:U8</f>
        <v>PALMER</v>
      </c>
      <c r="U8" s="360"/>
      <c r="V8" s="359">
        <f>'Stage 10'!V8:W8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GIVAN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7">
        <f t="shared" ref="BO8:BO27" si="3">IF(AA14&gt;=$M$3,"Elected",AA14)</f>
        <v>0</v>
      </c>
      <c r="BP8" s="66"/>
      <c r="BR8" s="9" t="str">
        <f>'Verification of Boxes'!J10</f>
        <v>EWING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115" t="s">
        <v>112</v>
      </c>
      <c r="W9" s="116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Transfer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7">
        <f t="shared" si="3"/>
        <v>0</v>
      </c>
      <c r="BP9" s="66"/>
      <c r="BR9" s="9" t="str">
        <f>'Verification of Boxes'!J11</f>
        <v>FLYNN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113</v>
      </c>
      <c r="B10" s="18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KENNEDY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7">
        <f t="shared" si="3"/>
        <v>0</v>
      </c>
      <c r="BP10" s="66"/>
      <c r="BR10" s="9" t="str">
        <f>'Verification of Boxes'!J12</f>
        <v>FRENCH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16'!B57</f>
        <v>1</v>
      </c>
      <c r="C11" s="30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>'Stage 3'!H11</f>
        <v>0</v>
      </c>
      <c r="I11" s="135">
        <f>'Stage 3'!I11</f>
        <v>1071</v>
      </c>
      <c r="J11" s="71">
        <f>'Stage 4'!J11</f>
        <v>0</v>
      </c>
      <c r="K11" s="135">
        <f>'Stage 4'!K11</f>
        <v>1071</v>
      </c>
      <c r="L11" s="71">
        <f>'Stage 5'!L11</f>
        <v>0</v>
      </c>
      <c r="M11" s="135">
        <f>'Stage 5'!M11</f>
        <v>1071</v>
      </c>
      <c r="N11" s="71">
        <f>'Stage 6'!N11</f>
        <v>0</v>
      </c>
      <c r="O11" s="135">
        <f>'Stage 6'!O11</f>
        <v>1071</v>
      </c>
      <c r="P11" s="71">
        <f>'Stage 7'!P11</f>
        <v>0</v>
      </c>
      <c r="Q11" s="135">
        <f>'Stage 7'!Q11</f>
        <v>1071</v>
      </c>
      <c r="R11" s="71">
        <f>'Stage 8'!R11</f>
        <v>0</v>
      </c>
      <c r="S11" s="135">
        <f>'Stage 8'!S11</f>
        <v>1071</v>
      </c>
      <c r="T11" s="71">
        <f>'Stage 9'!T11</f>
        <v>0</v>
      </c>
      <c r="U11" s="135">
        <f>'Stage 9'!U11</f>
        <v>1071</v>
      </c>
      <c r="V11" s="71">
        <f>'Stage 10'!V11</f>
        <v>0</v>
      </c>
      <c r="W11" s="135">
        <f>'Stage 10'!W11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>
        <f t="shared" si="3"/>
        <v>0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 t="str">
        <f t="shared" ref="A12:A30" si="12">A58</f>
        <v>Excluded</v>
      </c>
      <c r="B12" s="235">
        <f>'Stage 16'!B58</f>
        <v>0</v>
      </c>
      <c r="C12" s="31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>'Stage 3'!H12</f>
        <v>1</v>
      </c>
      <c r="I12" s="135">
        <f>'Stage 3'!I12</f>
        <v>494.42</v>
      </c>
      <c r="J12" s="71">
        <f>'Stage 4'!J12</f>
        <v>0.48</v>
      </c>
      <c r="K12" s="135">
        <f>'Stage 4'!K12</f>
        <v>494.90000000000003</v>
      </c>
      <c r="L12" s="71">
        <f>'Stage 5'!L12</f>
        <v>0.04</v>
      </c>
      <c r="M12" s="135">
        <f>'Stage 5'!M12</f>
        <v>494.94000000000005</v>
      </c>
      <c r="N12" s="71">
        <f>'Stage 6'!N12</f>
        <v>176.15</v>
      </c>
      <c r="O12" s="135">
        <f>'Stage 6'!O12</f>
        <v>671.09</v>
      </c>
      <c r="P12" s="71">
        <f>'Stage 7'!P12</f>
        <v>-671.09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MITCHELL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7">
        <f t="shared" si="3"/>
        <v>0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16'!B59</f>
        <v>0</v>
      </c>
      <c r="C13" s="31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>'Stage 3'!H13</f>
        <v>4</v>
      </c>
      <c r="I13" s="135">
        <f>'Stage 3'!I13</f>
        <v>476.42</v>
      </c>
      <c r="J13" s="71">
        <f>'Stage 4'!J13</f>
        <v>0.89999999999999991</v>
      </c>
      <c r="K13" s="135">
        <f>'Stage 4'!K13</f>
        <v>477.32</v>
      </c>
      <c r="L13" s="71">
        <f>'Stage 5'!L13</f>
        <v>0.02</v>
      </c>
      <c r="M13" s="135">
        <f>'Stage 5'!M13</f>
        <v>477.34</v>
      </c>
      <c r="N13" s="71">
        <f>'Stage 6'!N13</f>
        <v>-477.34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115</v>
      </c>
      <c r="AA13" s="124" t="s">
        <v>168</v>
      </c>
      <c r="AB13" s="16"/>
      <c r="AC13" s="16" t="s">
        <v>169</v>
      </c>
      <c r="AD13" s="18"/>
      <c r="AE13" s="16" t="s">
        <v>170</v>
      </c>
      <c r="AF13" s="18" t="s">
        <v>171</v>
      </c>
      <c r="AG13" s="14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/>
      <c r="BE13" s="61" t="str">
        <f>'Verification of Boxes'!J18</f>
        <v>PALMER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Elected</v>
      </c>
      <c r="BO13" s="7">
        <f t="shared" si="3"/>
        <v>0</v>
      </c>
      <c r="BP13" s="66"/>
      <c r="BR13" s="9" t="str">
        <f>'Verification of Boxes'!J15</f>
        <v>KENNEDY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16'!B60</f>
        <v>3</v>
      </c>
      <c r="C14" s="31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>'Stage 3'!H14</f>
        <v>0</v>
      </c>
      <c r="I14" s="135">
        <f>'Stage 3'!I14</f>
        <v>1089.5999999999999</v>
      </c>
      <c r="J14" s="71">
        <f>'Stage 4'!J14</f>
        <v>0</v>
      </c>
      <c r="K14" s="135">
        <f>'Stage 4'!K14</f>
        <v>1089.5999999999999</v>
      </c>
      <c r="L14" s="71">
        <f>'Stage 5'!L14</f>
        <v>-18.599999999999909</v>
      </c>
      <c r="M14" s="135">
        <f>'Stage 5'!M14</f>
        <v>1071</v>
      </c>
      <c r="N14" s="71">
        <f>'Stage 6'!N14</f>
        <v>0</v>
      </c>
      <c r="O14" s="135">
        <f>'Stage 6'!O14</f>
        <v>1071</v>
      </c>
      <c r="P14" s="71">
        <f>'Stage 7'!P14</f>
        <v>0</v>
      </c>
      <c r="Q14" s="135">
        <f>'Stage 7'!Q14</f>
        <v>1071</v>
      </c>
      <c r="R14" s="71">
        <f>'Stage 8'!R14</f>
        <v>0</v>
      </c>
      <c r="S14" s="135">
        <f>'Stage 8'!S14</f>
        <v>1071</v>
      </c>
      <c r="T14" s="71">
        <f>'Stage 9'!T14</f>
        <v>0</v>
      </c>
      <c r="U14" s="135">
        <f>'Stage 9'!U14</f>
        <v>1071</v>
      </c>
      <c r="V14" s="71">
        <f>'Stage 10'!V14</f>
        <v>0</v>
      </c>
      <c r="W14" s="135">
        <f>'Stage 10'!W14</f>
        <v>0</v>
      </c>
      <c r="Z14" s="92" t="str">
        <f>'Verification of Boxes'!J10</f>
        <v>EWING</v>
      </c>
      <c r="AA14" s="93">
        <f>S57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/>
      <c r="BE14" s="61" t="str">
        <f>'Verification of Boxes'!J19</f>
        <v>PORTER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16'!B61</f>
        <v>2</v>
      </c>
      <c r="C15" s="31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>'Stage 3'!H15</f>
        <v>0</v>
      </c>
      <c r="I15" s="135">
        <f>'Stage 3'!I15</f>
        <v>1111</v>
      </c>
      <c r="J15" s="71">
        <f>'Stage 4'!J15</f>
        <v>-40</v>
      </c>
      <c r="K15" s="135">
        <f>'Stage 4'!K15</f>
        <v>1071</v>
      </c>
      <c r="L15" s="71">
        <f>'Stage 5'!L15</f>
        <v>0</v>
      </c>
      <c r="M15" s="135">
        <f>'Stage 5'!M15</f>
        <v>1071</v>
      </c>
      <c r="N15" s="71">
        <f>'Stage 6'!N15</f>
        <v>0</v>
      </c>
      <c r="O15" s="135">
        <f>'Stage 6'!O15</f>
        <v>1071</v>
      </c>
      <c r="P15" s="71">
        <f>'Stage 7'!P15</f>
        <v>0</v>
      </c>
      <c r="Q15" s="135">
        <f>'Stage 7'!Q15</f>
        <v>1071</v>
      </c>
      <c r="R15" s="71">
        <f>'Stage 8'!R15</f>
        <v>0</v>
      </c>
      <c r="S15" s="135">
        <f>'Stage 8'!S15</f>
        <v>1071</v>
      </c>
      <c r="T15" s="71">
        <f>'Stage 9'!T15</f>
        <v>0</v>
      </c>
      <c r="U15" s="135">
        <f>'Stage 9'!U15</f>
        <v>1071</v>
      </c>
      <c r="V15" s="71">
        <f>'Stage 10'!V15</f>
        <v>0</v>
      </c>
      <c r="W15" s="135">
        <f>'Stage 10'!W15</f>
        <v>0</v>
      </c>
      <c r="Z15" s="95" t="str">
        <f>'Verification of Boxes'!J11</f>
        <v>FLYNN</v>
      </c>
      <c r="AA15" s="37">
        <f t="shared" ref="AA15:AA33" si="16">S58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0</v>
      </c>
      <c r="BP15" s="66"/>
      <c r="BR15" s="9" t="str">
        <f>'Verification of Boxes'!J17</f>
        <v>MITCHELL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 t="str">
        <f t="shared" si="12"/>
        <v>Elected</v>
      </c>
      <c r="B16" s="235">
        <f>'Stage 16'!B62</f>
        <v>4</v>
      </c>
      <c r="C16" s="31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>'Stage 3'!H16</f>
        <v>3.06</v>
      </c>
      <c r="I16" s="135">
        <f>'Stage 3'!I16</f>
        <v>677.3</v>
      </c>
      <c r="J16" s="71">
        <f>'Stage 4'!J16</f>
        <v>30.029999999999998</v>
      </c>
      <c r="K16" s="135">
        <f>'Stage 4'!K16</f>
        <v>707.32999999999993</v>
      </c>
      <c r="L16" s="71">
        <f>'Stage 5'!L16</f>
        <v>0.22</v>
      </c>
      <c r="M16" s="135">
        <f>'Stage 5'!M16</f>
        <v>707.55</v>
      </c>
      <c r="N16" s="71">
        <f>'Stage 6'!N16</f>
        <v>241.72</v>
      </c>
      <c r="O16" s="135">
        <f>'Stage 6'!O16</f>
        <v>949.27</v>
      </c>
      <c r="P16" s="71">
        <f>'Stage 7'!P16</f>
        <v>375</v>
      </c>
      <c r="Q16" s="135">
        <f>'Stage 7'!Q16</f>
        <v>1324.27</v>
      </c>
      <c r="R16" s="71">
        <f>'Stage 8'!R16</f>
        <v>-253.26999999999998</v>
      </c>
      <c r="S16" s="135">
        <f>'Stage 8'!S16</f>
        <v>1071</v>
      </c>
      <c r="T16" s="71">
        <f>'Stage 9'!T16</f>
        <v>0</v>
      </c>
      <c r="U16" s="135">
        <f>'Stage 9'!U16</f>
        <v>1071</v>
      </c>
      <c r="V16" s="71">
        <f>'Stage 10'!V16</f>
        <v>0</v>
      </c>
      <c r="W16" s="135">
        <f>'Stage 10'!W16</f>
        <v>0</v>
      </c>
      <c r="Z16" s="95" t="str">
        <f>'Verification of Boxes'!J12</f>
        <v>FRENCH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7">
        <f t="shared" si="3"/>
        <v>0</v>
      </c>
      <c r="BP16" s="66"/>
      <c r="BR16" s="9" t="str">
        <f>'Verification of Boxes'!J18</f>
        <v>PALMER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 t="shared" si="12"/>
        <v>Excluded</v>
      </c>
      <c r="B17" s="235">
        <f>'Stage 16'!B63</f>
        <v>0</v>
      </c>
      <c r="C17" s="31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>'Stage 3'!H17</f>
        <v>-388.44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GIVAN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0</v>
      </c>
      <c r="BP17" s="66"/>
      <c r="BR17" s="9" t="str">
        <f>'Verification of Boxes'!J19</f>
        <v>PORTER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 t="shared" si="12"/>
        <v>0</v>
      </c>
      <c r="B18" s="235">
        <f>'Stage 16'!B64</f>
        <v>5</v>
      </c>
      <c r="C18" s="31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>'Stage 3'!H18</f>
        <v>91.42</v>
      </c>
      <c r="I18" s="135">
        <f>'Stage 3'!I18</f>
        <v>962.86</v>
      </c>
      <c r="J18" s="71">
        <f>'Stage 4'!J18</f>
        <v>0.72</v>
      </c>
      <c r="K18" s="135">
        <f>'Stage 4'!K18</f>
        <v>963.58</v>
      </c>
      <c r="L18" s="71">
        <f>'Stage 5'!L18</f>
        <v>1.54</v>
      </c>
      <c r="M18" s="135">
        <f>'Stage 5'!M18</f>
        <v>965.12</v>
      </c>
      <c r="N18" s="71">
        <f>'Stage 6'!N18</f>
        <v>6</v>
      </c>
      <c r="O18" s="135">
        <f>'Stage 6'!O18</f>
        <v>971.12</v>
      </c>
      <c r="P18" s="71">
        <f>'Stage 7'!P18</f>
        <v>36.170000000000009</v>
      </c>
      <c r="Q18" s="135">
        <f>'Stage 7'!Q18</f>
        <v>1007.29</v>
      </c>
      <c r="R18" s="71">
        <f>'Stage 8'!R18</f>
        <v>58</v>
      </c>
      <c r="S18" s="135">
        <f>'Stage 8'!S18</f>
        <v>1065.29</v>
      </c>
      <c r="T18" s="71">
        <f>'Stage 9'!T18</f>
        <v>0</v>
      </c>
      <c r="U18" s="135">
        <f>'Stage 9'!U18</f>
        <v>1065.29</v>
      </c>
      <c r="V18" s="71">
        <f>'Stage 10'!V18</f>
        <v>0</v>
      </c>
      <c r="W18" s="135">
        <f>'Stage 10'!W18</f>
        <v>0</v>
      </c>
      <c r="Z18" s="95" t="str">
        <f>'Verification of Boxes'!J14</f>
        <v>GREHAN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 t="str">
        <f t="shared" si="12"/>
        <v>Excluded</v>
      </c>
      <c r="B19" s="235">
        <f>'Stage 16'!B65</f>
        <v>0</v>
      </c>
      <c r="C19" s="31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>'Stage 3'!H19</f>
        <v>64.48</v>
      </c>
      <c r="I19" s="135">
        <f>'Stage 3'!I19</f>
        <v>692.9</v>
      </c>
      <c r="J19" s="71">
        <f>'Stage 4'!J19</f>
        <v>0.69</v>
      </c>
      <c r="K19" s="135">
        <f>'Stage 4'!K19</f>
        <v>693.59</v>
      </c>
      <c r="L19" s="71">
        <f>'Stage 5'!L19</f>
        <v>0.68</v>
      </c>
      <c r="M19" s="135">
        <f>'Stage 5'!M19</f>
        <v>694.27</v>
      </c>
      <c r="N19" s="71">
        <f>'Stage 6'!N19</f>
        <v>12.15</v>
      </c>
      <c r="O19" s="135">
        <f>'Stage 6'!O19</f>
        <v>706.42</v>
      </c>
      <c r="P19" s="71">
        <f>'Stage 7'!P19</f>
        <v>21.06</v>
      </c>
      <c r="Q19" s="135">
        <f>'Stage 7'!Q19</f>
        <v>727.4799999999999</v>
      </c>
      <c r="R19" s="71">
        <f>'Stage 8'!R19</f>
        <v>18</v>
      </c>
      <c r="S19" s="135">
        <f>'Stage 8'!S19</f>
        <v>745.4799999999999</v>
      </c>
      <c r="T19" s="71">
        <f>'Stage 9'!T19</f>
        <v>-745.4799999999999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KENNEDY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 t="shared" si="12"/>
        <v>0</v>
      </c>
      <c r="B20" s="235">
        <f>'Stage 16'!B66</f>
        <v>6</v>
      </c>
      <c r="C20" s="31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>'Stage 3'!H20</f>
        <v>204.42</v>
      </c>
      <c r="I20" s="135">
        <f>'Stage 3'!I20</f>
        <v>900.42</v>
      </c>
      <c r="J20" s="71">
        <f>'Stage 4'!J20</f>
        <v>0.39</v>
      </c>
      <c r="K20" s="135">
        <f>'Stage 4'!K20</f>
        <v>900.81</v>
      </c>
      <c r="L20" s="71">
        <f>'Stage 5'!L20</f>
        <v>14.34</v>
      </c>
      <c r="M20" s="135">
        <f>'Stage 5'!M20</f>
        <v>915.15</v>
      </c>
      <c r="N20" s="71">
        <f>'Stage 6'!N20</f>
        <v>6</v>
      </c>
      <c r="O20" s="135">
        <f>'Stage 6'!O20</f>
        <v>921.15</v>
      </c>
      <c r="P20" s="71">
        <f>'Stage 7'!P20</f>
        <v>10.08</v>
      </c>
      <c r="Q20" s="135">
        <f>'Stage 7'!Q20</f>
        <v>931.23</v>
      </c>
      <c r="R20" s="71">
        <f>'Stage 8'!R20</f>
        <v>6</v>
      </c>
      <c r="S20" s="135">
        <f>'Stage 8'!S20</f>
        <v>937.23</v>
      </c>
      <c r="T20" s="71">
        <f>'Stage 9'!T20</f>
        <v>0</v>
      </c>
      <c r="U20" s="135">
        <f>'Stage 9'!U20</f>
        <v>937.23</v>
      </c>
      <c r="V20" s="71">
        <f>'Stage 10'!V20</f>
        <v>0</v>
      </c>
      <c r="W20" s="135">
        <f>'Stage 10'!W20</f>
        <v>0</v>
      </c>
      <c r="Z20" s="95" t="str">
        <f>'Verification of Boxes'!J16</f>
        <v>MCEVOY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39" t="s">
        <v>184</v>
      </c>
      <c r="AK20" s="340"/>
      <c r="AL20" s="142">
        <f>AL46</f>
        <v>1000000</v>
      </c>
      <c r="AM20" s="118"/>
      <c r="AN20" s="142">
        <f>AL20+AG2</f>
        <v>1000000</v>
      </c>
      <c r="AO20" s="334">
        <f>IF(AN20&gt;AG4,0,IF(AN20&lt;AL21,"Exclude lowest candidate",0))</f>
        <v>0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 t="shared" si="12"/>
        <v>0</v>
      </c>
      <c r="B21" s="235">
        <f>'Stage 16'!B67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MITCHELL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41" t="s">
        <v>185</v>
      </c>
      <c r="AK21" s="293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 t="shared" si="12"/>
        <v>0</v>
      </c>
      <c r="B22" s="235">
        <f>'Stage 16'!B68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PALMER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41" t="s">
        <v>185</v>
      </c>
      <c r="AK22" s="293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 t="shared" si="12"/>
        <v>0</v>
      </c>
      <c r="B23" s="235">
        <f>'Stage 16'!B69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 t="str">
        <f>'Verification of Boxes'!J19</f>
        <v>PORTER</v>
      </c>
      <c r="AA23" s="37">
        <f t="shared" si="16"/>
        <v>0</v>
      </c>
      <c r="AB23" s="5"/>
      <c r="AC23" s="100">
        <f t="shared" si="13"/>
        <v>0</v>
      </c>
      <c r="AD23" s="110"/>
      <c r="AE23" s="5" t="str">
        <f t="shared" si="17"/>
        <v>excluded</v>
      </c>
      <c r="AF23" s="5">
        <f t="shared" si="14"/>
        <v>0</v>
      </c>
      <c r="AG23" s="96">
        <f t="shared" si="15"/>
        <v>0</v>
      </c>
      <c r="AJ23" s="341" t="s">
        <v>185</v>
      </c>
      <c r="AK23" s="293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 t="shared" si="12"/>
        <v>0</v>
      </c>
      <c r="B24" s="235">
        <f>'Stage 16'!B70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41" t="s">
        <v>185</v>
      </c>
      <c r="AK24" s="293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189</v>
      </c>
      <c r="BA24" s="3" t="s">
        <v>190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 t="shared" si="12"/>
        <v>0</v>
      </c>
      <c r="B25" s="235">
        <f>'Stage 16'!B71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55" t="s">
        <v>185</v>
      </c>
      <c r="AK25" s="35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0</v>
      </c>
      <c r="BE25" s="61" t="s">
        <v>193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 t="shared" si="12"/>
        <v>0</v>
      </c>
      <c r="B26" s="235">
        <f>'Stage 16'!B72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118"/>
      <c r="AU26" s="130"/>
      <c r="AV26" s="118">
        <f>SUM(AV27:AV32)</f>
        <v>0</v>
      </c>
      <c r="AW26" s="118"/>
      <c r="BA26" s="3"/>
      <c r="BB26" s="3"/>
      <c r="BC26" s="2"/>
      <c r="BE26" s="61" t="s">
        <v>194</v>
      </c>
      <c r="BF26" s="64"/>
      <c r="BG26" s="100">
        <f>IF(AT5="T",BC25+BC31,0)</f>
        <v>0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 t="shared" si="12"/>
        <v>0</v>
      </c>
      <c r="B27" s="235">
        <f>'Stage 16'!B73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 t="shared" si="12"/>
        <v>0</v>
      </c>
      <c r="B28" s="235">
        <f>'Stage 16'!B74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R28" s="19" t="s">
        <v>123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 t="shared" si="12"/>
        <v>0</v>
      </c>
      <c r="B29" s="235">
        <f>'Stage 16'!B75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30"/>
      <c r="AM29" s="331"/>
      <c r="AN29" s="331"/>
      <c r="AO29" s="331"/>
      <c r="AP29" s="331"/>
      <c r="AQ29" s="332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0</v>
      </c>
      <c r="BR29" s="5" t="s">
        <v>200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'Stage 16'!B76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328</v>
      </c>
      <c r="BJ30" s="328"/>
      <c r="BK30" s="329"/>
      <c r="BX30" s="333" t="str">
        <f>IF(BW31=BW69,"Calculations OK","Check Count for Error")</f>
        <v>Calculations OK</v>
      </c>
      <c r="BY30" s="333"/>
    </row>
    <row r="31" spans="1:83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1">
        <f>'Stage 3'!H31</f>
        <v>20.059999999999999</v>
      </c>
      <c r="I31" s="135">
        <f>'Stage 3'!I31</f>
        <v>20.079999999999995</v>
      </c>
      <c r="J31" s="71">
        <f>'Stage 4'!J31</f>
        <v>6.7899999999999991</v>
      </c>
      <c r="K31" s="135">
        <f>'Stage 4'!K31</f>
        <v>26.869999999999994</v>
      </c>
      <c r="L31" s="71">
        <f>'Stage 5'!L31</f>
        <v>1.7599999999999092</v>
      </c>
      <c r="M31" s="135">
        <f>'Stage 5'!M31</f>
        <v>28.629999999999903</v>
      </c>
      <c r="N31" s="71">
        <f>'Stage 6'!N31</f>
        <v>35.320000000000007</v>
      </c>
      <c r="O31" s="135">
        <f>'Stage 6'!O31</f>
        <v>63.94999999999991</v>
      </c>
      <c r="P31" s="71">
        <f>'Stage 7'!P31</f>
        <v>228.78</v>
      </c>
      <c r="Q31" s="135">
        <f>'Stage 7'!Q31</f>
        <v>292.7299999999999</v>
      </c>
      <c r="R31" s="71">
        <f>'Stage 8'!R31</f>
        <v>171.26999999999998</v>
      </c>
      <c r="S31" s="135">
        <f>'Stage 8'!S31</f>
        <v>463.99999999999989</v>
      </c>
      <c r="T31" s="71">
        <f>'Stage 9'!T31</f>
        <v>0</v>
      </c>
      <c r="U31" s="135">
        <f>'Stage 9'!U31</f>
        <v>463.99999999999989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203</v>
      </c>
      <c r="BA31" s="3" t="s">
        <v>204</v>
      </c>
      <c r="BB31" s="3"/>
      <c r="BC31" s="50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V31" t="s">
        <v>119</v>
      </c>
      <c r="BW31" s="5">
        <f>BT29+BV29+BX29+BZ29+CB29+CD29</f>
        <v>0</v>
      </c>
      <c r="BX31" s="311"/>
      <c r="BY31" s="311"/>
      <c r="BZ31" s="5">
        <f>BW69-BW31</f>
        <v>0</v>
      </c>
      <c r="CB31" s="327" t="s">
        <v>328</v>
      </c>
      <c r="CC31" s="328"/>
      <c r="CD31" s="328"/>
      <c r="CE31" s="32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1"/>
      <c r="I32" s="135">
        <f>'Stage 3'!I32</f>
        <v>7496</v>
      </c>
      <c r="J32" s="192"/>
      <c r="K32" s="135">
        <f>'Stage 4'!K32</f>
        <v>7495.9999999999991</v>
      </c>
      <c r="L32" s="192"/>
      <c r="M32" s="135">
        <f>'Stage 5'!M32</f>
        <v>7495.9999999999991</v>
      </c>
      <c r="N32" s="192"/>
      <c r="O32" s="135">
        <f>'Stage 6'!O32</f>
        <v>7496</v>
      </c>
      <c r="P32" s="192"/>
      <c r="Q32" s="135">
        <f>'Stage 7'!Q32</f>
        <v>7496</v>
      </c>
      <c r="R32" s="192"/>
      <c r="S32" s="135">
        <f>'Stage 8'!S32</f>
        <v>7496</v>
      </c>
      <c r="T32" s="192"/>
      <c r="U32" s="135">
        <f>'Stage 9'!U32</f>
        <v>6750.52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30"/>
      <c r="AM32" s="331"/>
      <c r="AN32" s="331"/>
      <c r="AO32" s="331"/>
      <c r="AP32" s="331"/>
      <c r="AQ32" s="332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11"/>
      <c r="BG32" s="311"/>
      <c r="BX32" s="311"/>
      <c r="BY32" s="311"/>
      <c r="CB32" s="330"/>
      <c r="CC32" s="331"/>
      <c r="CD32" s="331"/>
      <c r="CE32" s="332"/>
    </row>
    <row r="33" spans="1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5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5">
        <f>'Stage 3'!I34</f>
        <v>0</v>
      </c>
      <c r="J34" s="219"/>
      <c r="K34" s="185">
        <f>'Stage 4'!K34</f>
        <v>0</v>
      </c>
      <c r="L34" s="219"/>
      <c r="M34" s="185">
        <f>'Stage 5'!M34</f>
        <v>0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0.77361111111111114</v>
      </c>
      <c r="T34" s="219"/>
      <c r="U34" s="185">
        <f>'Stage 9'!U34</f>
        <v>0</v>
      </c>
      <c r="V34" s="219"/>
      <c r="W34" s="185">
        <f>'Stage 10'!W34</f>
        <v>0</v>
      </c>
    </row>
    <row r="35" spans="1:75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5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5" x14ac:dyDescent="0.25">
      <c r="Z44" s="253" t="str">
        <f t="array" ref="Z44:AB63">_xlfn._xlws.SORT(AJ48:AL67,3,,)</f>
        <v>EWING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5" ht="18" customHeight="1" x14ac:dyDescent="0.35">
      <c r="Z45" s="253" t="str">
        <v>FLYNN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1:75" x14ac:dyDescent="0.25">
      <c r="Z46" s="253" t="str">
        <v>FRENCH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212</v>
      </c>
    </row>
    <row r="47" spans="1:75" ht="18.5" thickBot="1" x14ac:dyDescent="0.45">
      <c r="A47" s="76" t="str">
        <f>'Verification of Boxes'!B1</f>
        <v>Local Council Elections 2023</v>
      </c>
      <c r="F47" s="10" t="s">
        <v>285</v>
      </c>
      <c r="J47" s="85" t="s">
        <v>37</v>
      </c>
      <c r="K47" s="319">
        <f>'Basic Input'!C2</f>
        <v>45064</v>
      </c>
      <c r="L47" s="319"/>
      <c r="Z47" s="253" t="str">
        <v>GIVAN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5" ht="39.5" thickBot="1" x14ac:dyDescent="0.45">
      <c r="A48" s="10" t="str">
        <f>'Verification of Boxes'!A3</f>
        <v>District Electoral Area of</v>
      </c>
      <c r="D48" s="10" t="str">
        <f>'Verification of Boxes'!B3</f>
        <v>Lisburn South</v>
      </c>
      <c r="O48" s="345" t="s">
        <v>324</v>
      </c>
      <c r="P48" s="346"/>
      <c r="Q48" s="346"/>
      <c r="R48" s="346"/>
      <c r="S48" s="347"/>
      <c r="Z48" s="253" t="str">
        <v>GREHAN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EWING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W48" t="s">
        <v>218</v>
      </c>
    </row>
    <row r="49" spans="1:75" ht="22.5" customHeight="1" thickBot="1" x14ac:dyDescent="0.35">
      <c r="C49" s="3" t="s">
        <v>96</v>
      </c>
      <c r="D49" s="68">
        <f>'Verification of Boxes'!L2</f>
        <v>16838</v>
      </c>
      <c r="E49" s="306" t="s">
        <v>62</v>
      </c>
      <c r="F49" s="307"/>
      <c r="G49" s="131">
        <f>'Verification of Boxes'!G3</f>
        <v>6</v>
      </c>
      <c r="H49" s="306" t="s">
        <v>97</v>
      </c>
      <c r="I49" s="307"/>
      <c r="J49" s="131">
        <f>'Verification of Boxes'!L33</f>
        <v>99</v>
      </c>
      <c r="K49" s="306" t="s">
        <v>98</v>
      </c>
      <c r="L49" s="307"/>
      <c r="M49" s="131">
        <f>'Verification of Boxes'!G4</f>
        <v>1071</v>
      </c>
      <c r="O49" s="376" t="s">
        <v>279</v>
      </c>
      <c r="P49" s="377"/>
      <c r="Q49" s="377"/>
      <c r="R49" s="377"/>
      <c r="S49" s="378"/>
      <c r="Z49" s="253" t="str">
        <v>KENNEDY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FLYNN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EWING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BG5+CE8+BJ49+BI49</f>
        <v>0</v>
      </c>
      <c r="BN49" s="5">
        <f>IF(BP8="y",-BO8,0)</f>
        <v>0</v>
      </c>
      <c r="BW49" s="5">
        <f>IF(BP8="y",BO8,0)</f>
        <v>0</v>
      </c>
    </row>
    <row r="50" spans="1:75" ht="33.75" customHeight="1" thickBot="1" x14ac:dyDescent="0.45">
      <c r="A50" s="10"/>
      <c r="C50" s="3" t="s">
        <v>99</v>
      </c>
      <c r="D50" s="131">
        <f>'Verification of Boxes'!L3</f>
        <v>7595</v>
      </c>
      <c r="E50" s="161" t="s">
        <v>100</v>
      </c>
      <c r="F50" s="160"/>
      <c r="G50" s="67">
        <f>D50-J49</f>
        <v>7496</v>
      </c>
      <c r="H50" s="161" t="s">
        <v>101</v>
      </c>
      <c r="I50" s="160"/>
      <c r="J50" s="132">
        <f>'Verification of Boxes'!L5</f>
        <v>45.106307162370825</v>
      </c>
      <c r="O50" s="345" t="s">
        <v>326</v>
      </c>
      <c r="P50" s="346"/>
      <c r="Q50" s="346"/>
      <c r="R50" s="346"/>
      <c r="S50" s="347"/>
      <c r="U50" s="311" t="str">
        <f>IF(U79="ERROR","DO NOT MOVE TO NEXT STAGE","OK TO MOVE TO NEXT STAGE")</f>
        <v>DO NOT MOVE TO NEXT STAGE</v>
      </c>
      <c r="V50" s="311"/>
      <c r="W50" s="311"/>
      <c r="Z50" s="253" t="str">
        <v>MCEVOY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FRENCH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FLYNN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IF(BP9="y",-BO9,0)</f>
        <v>0</v>
      </c>
      <c r="BW50" s="5">
        <f t="shared" ref="BW50:BW68" si="41">IF(BP9="y",BO9,0)</f>
        <v>0</v>
      </c>
    </row>
    <row r="51" spans="1:75" ht="12.75" customHeight="1" thickBot="1" x14ac:dyDescent="0.3">
      <c r="Z51" s="253" t="str">
        <v>MITCHELL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GIVAN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FRENCH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1:75" ht="18.5" thickBot="1" x14ac:dyDescent="0.45">
      <c r="A52" s="10"/>
      <c r="E52" s="24" t="s">
        <v>94</v>
      </c>
      <c r="F52" s="288" t="s">
        <v>111</v>
      </c>
      <c r="G52" s="290"/>
      <c r="H52" s="288" t="s">
        <v>272</v>
      </c>
      <c r="I52" s="290"/>
      <c r="J52" s="288" t="s">
        <v>280</v>
      </c>
      <c r="K52" s="290"/>
      <c r="L52" s="288" t="s">
        <v>281</v>
      </c>
      <c r="M52" s="290"/>
      <c r="N52" s="288" t="s">
        <v>282</v>
      </c>
      <c r="O52" s="290"/>
      <c r="P52" s="288" t="s">
        <v>283</v>
      </c>
      <c r="Q52" s="290"/>
      <c r="R52" s="288" t="s">
        <v>284</v>
      </c>
      <c r="S52" s="290"/>
      <c r="T52" s="288" t="s">
        <v>285</v>
      </c>
      <c r="U52" s="290"/>
      <c r="V52" s="288" t="s">
        <v>286</v>
      </c>
      <c r="W52" s="290"/>
      <c r="Z52" s="253" t="str">
        <v>PALMER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GREHAN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GIVAN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W52" s="5">
        <f t="shared" si="41"/>
        <v>0</v>
      </c>
    </row>
    <row r="53" spans="1:75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'Stage 16'!R53</f>
        <v>0</v>
      </c>
      <c r="S53" s="362"/>
      <c r="T53" s="361">
        <f>IF($AT5=0,0,IF($AT5="T",$AZ7,$BR4))</f>
        <v>0</v>
      </c>
      <c r="U53" s="362"/>
      <c r="V53" s="361"/>
      <c r="W53" s="362"/>
      <c r="Z53" s="253" t="str">
        <v>PORTER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KENNEDY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GREHAN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W53" s="5">
        <f t="shared" si="41"/>
        <v>0</v>
      </c>
    </row>
    <row r="54" spans="1:75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61">
        <f>'Stage 16'!R54</f>
        <v>0</v>
      </c>
      <c r="S54" s="362"/>
      <c r="T54" s="359">
        <f>IF($T53="Transfer",$BA8,$BT3)</f>
        <v>0</v>
      </c>
      <c r="U54" s="360"/>
      <c r="V54" s="359"/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MCEVOY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KENNEDY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W54" s="5">
        <f t="shared" si="41"/>
        <v>0</v>
      </c>
    </row>
    <row r="55" spans="1:75" ht="13" thickBot="1" x14ac:dyDescent="0.3">
      <c r="D55" s="25"/>
      <c r="E55" s="23"/>
      <c r="F55" s="288" t="s">
        <v>112</v>
      </c>
      <c r="G55" s="290"/>
      <c r="H55" s="288" t="s">
        <v>112</v>
      </c>
      <c r="I55" s="290"/>
      <c r="J55" s="288" t="s">
        <v>112</v>
      </c>
      <c r="K55" s="290"/>
      <c r="L55" s="288" t="s">
        <v>112</v>
      </c>
      <c r="M55" s="290"/>
      <c r="N55" s="288" t="s">
        <v>112</v>
      </c>
      <c r="O55" s="290"/>
      <c r="P55" s="288" t="s">
        <v>112</v>
      </c>
      <c r="Q55" s="290"/>
      <c r="R55" s="288" t="s">
        <v>112</v>
      </c>
      <c r="S55" s="290"/>
      <c r="T55" s="288" t="s">
        <v>112</v>
      </c>
      <c r="U55" s="290"/>
      <c r="V55" s="288" t="s">
        <v>112</v>
      </c>
      <c r="W55" s="290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MITCHELL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MCEVOY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W55" s="5">
        <f t="shared" si="41"/>
        <v>0</v>
      </c>
    </row>
    <row r="56" spans="1:75" ht="13" thickBot="1" x14ac:dyDescent="0.3">
      <c r="A56" s="15" t="s">
        <v>113</v>
      </c>
      <c r="B56" s="18" t="s">
        <v>114</v>
      </c>
      <c r="C56" s="16" t="s">
        <v>115</v>
      </c>
      <c r="D56" s="32" t="s">
        <v>116</v>
      </c>
      <c r="E56" s="1" t="s">
        <v>117</v>
      </c>
      <c r="F56" s="115"/>
      <c r="G56" s="116" t="s">
        <v>83</v>
      </c>
      <c r="H56" s="136"/>
      <c r="I56" s="137" t="s">
        <v>83</v>
      </c>
      <c r="J56" s="134"/>
      <c r="K56" s="137" t="s">
        <v>83</v>
      </c>
      <c r="L56" s="134"/>
      <c r="M56" s="137" t="s">
        <v>83</v>
      </c>
      <c r="N56" s="136"/>
      <c r="O56" s="137" t="s">
        <v>83</v>
      </c>
      <c r="P56" s="136"/>
      <c r="Q56" s="137" t="s">
        <v>83</v>
      </c>
      <c r="R56" s="136"/>
      <c r="S56" s="137" t="s">
        <v>83</v>
      </c>
      <c r="T56" s="136"/>
      <c r="U56" s="137" t="s">
        <v>83</v>
      </c>
      <c r="V56" s="136"/>
      <c r="W56" s="137" t="s">
        <v>83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PALMER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MITCHELL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W56" s="5">
        <f t="shared" si="41"/>
        <v>0</v>
      </c>
    </row>
    <row r="57" spans="1:75" ht="13" thickBot="1" x14ac:dyDescent="0.3">
      <c r="A57" s="29" t="str">
        <f>IF('Stage 16'!A57&lt;&gt;0,'Stage 16'!A57,IF(U57&gt;=$M$3,"Elected",IF(BP8&lt;&gt;0,"Excluded",0)))</f>
        <v>Elected</v>
      </c>
      <c r="B57" s="235">
        <f>'Stage 16'!B57</f>
        <v>1</v>
      </c>
      <c r="C57" s="29" t="str">
        <f>'Verification of Boxes'!J10</f>
        <v>EWING</v>
      </c>
      <c r="D57" s="152" t="str">
        <f>'Verification of Boxes'!K10</f>
        <v>D.U.P.</v>
      </c>
      <c r="E57" s="108">
        <f>'Verification of Boxes'!L10</f>
        <v>1139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71">
        <f>'Stage 16'!R57</f>
        <v>0</v>
      </c>
      <c r="S57" s="135">
        <f>'Stage 16'!S57</f>
        <v>0</v>
      </c>
      <c r="T57" s="159">
        <f t="shared" ref="T57:T76" si="42">IF($C57&lt;&gt;0,$BK49,0)</f>
        <v>0</v>
      </c>
      <c r="U57" s="39">
        <f t="shared" ref="U57:U77" si="43">IF(T$54=0,0,S57+T57)</f>
        <v>0</v>
      </c>
      <c r="V57" s="157"/>
      <c r="W57" s="37"/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PORTER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PALMER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1:75" ht="13" thickBot="1" x14ac:dyDescent="0.3">
      <c r="A58" s="20" t="str">
        <f>IF('Stage 16'!A58&lt;&gt;0,'Stage 16'!A58,IF(U58&gt;=$M$3,"Elected",IF(BP9&lt;&gt;0,"Excluded",0)))</f>
        <v>Excluded</v>
      </c>
      <c r="B58" s="235">
        <f>'Stage 16'!B58</f>
        <v>0</v>
      </c>
      <c r="C58" s="20" t="str">
        <f>'Verification of Boxes'!J11</f>
        <v>FLYNN</v>
      </c>
      <c r="D58" s="153" t="str">
        <f>'Verification of Boxes'!K11</f>
        <v>Sinn Féin</v>
      </c>
      <c r="E58" s="109">
        <f>'Verification of Boxes'!L11</f>
        <v>493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71">
        <f>'Stage 16'!R58</f>
        <v>0</v>
      </c>
      <c r="S58" s="135">
        <f>'Stage 16'!S58</f>
        <v>0</v>
      </c>
      <c r="T58" s="159">
        <f t="shared" si="42"/>
        <v>0</v>
      </c>
      <c r="U58" s="39">
        <f t="shared" si="43"/>
        <v>0</v>
      </c>
      <c r="V58" s="157"/>
      <c r="W58" s="37"/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PORTER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1:75" ht="12.75" customHeight="1" thickBot="1" x14ac:dyDescent="0.3">
      <c r="A59" s="20" t="str">
        <f>IF('Stage 16'!A59&lt;&gt;0,'Stage 16'!A59,IF(U59&gt;=$M$3,"Elected",IF(BP10&lt;&gt;0,"Excluded",0)))</f>
        <v>Excluded</v>
      </c>
      <c r="B59" s="235">
        <f>'Stage 16'!B59</f>
        <v>0</v>
      </c>
      <c r="C59" s="20" t="str">
        <f>'Verification of Boxes'!J12</f>
        <v>FRENCH</v>
      </c>
      <c r="D59" s="153" t="str">
        <f>'Verification of Boxes'!K12</f>
        <v xml:space="preserve">SDLP </v>
      </c>
      <c r="E59" s="109">
        <f>'Verification of Boxes'!L12</f>
        <v>472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71">
        <f>'Stage 16'!R59</f>
        <v>0</v>
      </c>
      <c r="S59" s="135">
        <f>'Stage 16'!S59</f>
        <v>0</v>
      </c>
      <c r="T59" s="159">
        <f t="shared" si="42"/>
        <v>0</v>
      </c>
      <c r="U59" s="39">
        <f t="shared" si="43"/>
        <v>0</v>
      </c>
      <c r="V59" s="157"/>
      <c r="W59" s="37"/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1:75" ht="12.75" customHeight="1" thickBot="1" x14ac:dyDescent="0.3">
      <c r="A60" s="20" t="str">
        <f>IF('Stage 16'!A60&lt;&gt;0,'Stage 16'!A60,IF(U60&gt;=$M$3,"Elected",IF(BP11&lt;&gt;0,"Excluded",0)))</f>
        <v>Elected</v>
      </c>
      <c r="B60" s="235">
        <f>'Stage 16'!B60</f>
        <v>3</v>
      </c>
      <c r="C60" s="20" t="str">
        <f>'Verification of Boxes'!J13</f>
        <v>GIVAN</v>
      </c>
      <c r="D60" s="153" t="str">
        <f>'Verification of Boxes'!K13</f>
        <v>D.U.P.</v>
      </c>
      <c r="E60" s="109">
        <f>'Verification of Boxes'!L13</f>
        <v>1038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71">
        <f>'Stage 16'!R60</f>
        <v>0</v>
      </c>
      <c r="S60" s="135">
        <f>'Stage 16'!S60</f>
        <v>0</v>
      </c>
      <c r="T60" s="159">
        <f t="shared" si="42"/>
        <v>0</v>
      </c>
      <c r="U60" s="39">
        <f t="shared" si="43"/>
        <v>0</v>
      </c>
      <c r="V60" s="157"/>
      <c r="W60" s="37"/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1:75" ht="13" thickBot="1" x14ac:dyDescent="0.3">
      <c r="A61" s="20" t="str">
        <f>IF('Stage 16'!A61&lt;&gt;0,'Stage 16'!A61,IF(U61&gt;=$M$3,"Elected",IF(BP12&lt;&gt;0,"Excluded",0)))</f>
        <v>Elected</v>
      </c>
      <c r="B61" s="235">
        <f>'Stage 16'!B61</f>
        <v>2</v>
      </c>
      <c r="C61" s="20" t="str">
        <f>'Verification of Boxes'!J14</f>
        <v>GREHAN</v>
      </c>
      <c r="D61" s="153" t="str">
        <f>'Verification of Boxes'!K14</f>
        <v>Alliance Party</v>
      </c>
      <c r="E61" s="109">
        <f>'Verification of Boxes'!L14</f>
        <v>1111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71">
        <f>'Stage 16'!R61</f>
        <v>0</v>
      </c>
      <c r="S61" s="135">
        <f>'Stage 16'!S61</f>
        <v>0</v>
      </c>
      <c r="T61" s="159">
        <f t="shared" si="42"/>
        <v>0</v>
      </c>
      <c r="U61" s="39">
        <f t="shared" si="43"/>
        <v>0</v>
      </c>
      <c r="V61" s="157"/>
      <c r="W61" s="37"/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1:75" ht="13" thickBot="1" x14ac:dyDescent="0.3">
      <c r="A62" s="20" t="str">
        <f>IF('Stage 16'!A62&lt;&gt;0,'Stage 16'!A62,IF(U62&gt;=$M$3,"Elected",IF(BP13&lt;&gt;0,"Excluded",0)))</f>
        <v>Elected</v>
      </c>
      <c r="B62" s="235">
        <f>'Stage 16'!B62</f>
        <v>4</v>
      </c>
      <c r="C62" s="20" t="str">
        <f>'Verification of Boxes'!J15</f>
        <v>KENNEDY</v>
      </c>
      <c r="D62" s="153" t="str">
        <f>'Verification of Boxes'!K15</f>
        <v>Alliance Party</v>
      </c>
      <c r="E62" s="109">
        <f>'Verification of Boxes'!L15</f>
        <v>674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71">
        <f>'Stage 16'!R62</f>
        <v>0</v>
      </c>
      <c r="S62" s="135">
        <f>'Stage 16'!S62</f>
        <v>0</v>
      </c>
      <c r="T62" s="159">
        <f t="shared" si="42"/>
        <v>0</v>
      </c>
      <c r="U62" s="39">
        <f t="shared" si="43"/>
        <v>0</v>
      </c>
      <c r="V62" s="157"/>
      <c r="W62" s="37"/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1:75" ht="13.5" customHeight="1" thickBot="1" x14ac:dyDescent="0.3">
      <c r="A63" s="20" t="str">
        <f>IF('Stage 16'!A63&lt;&gt;0,'Stage 16'!A63,IF(U63&gt;=$M$3,"Elected",IF(BP14&lt;&gt;0,"Excluded",0)))</f>
        <v>Excluded</v>
      </c>
      <c r="B63" s="235">
        <f>'Stage 16'!B63</f>
        <v>0</v>
      </c>
      <c r="C63" s="20" t="str">
        <f>'Verification of Boxes'!J16</f>
        <v>MCEVOY</v>
      </c>
      <c r="D63" s="153" t="str">
        <f>'Verification of Boxes'!K16</f>
        <v xml:space="preserve">TUV </v>
      </c>
      <c r="E63" s="109">
        <f>'Verification of Boxes'!L16</f>
        <v>387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71">
        <f>'Stage 16'!R63</f>
        <v>0</v>
      </c>
      <c r="S63" s="135">
        <f>'Stage 16'!S63</f>
        <v>0</v>
      </c>
      <c r="T63" s="159">
        <f t="shared" si="42"/>
        <v>0</v>
      </c>
      <c r="U63" s="39">
        <f t="shared" si="43"/>
        <v>0</v>
      </c>
      <c r="V63" s="157"/>
      <c r="W63" s="37"/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1:75" ht="15" customHeight="1" thickBot="1" x14ac:dyDescent="0.3">
      <c r="A64" s="20">
        <f>IF('Stage 16'!A64&lt;&gt;0,'Stage 16'!A64,IF(U64&gt;=$M$3,"Elected",IF(BP15&lt;&gt;0,"Excluded",0)))</f>
        <v>0</v>
      </c>
      <c r="B64" s="235">
        <f>'Stage 16'!B64</f>
        <v>5</v>
      </c>
      <c r="C64" s="20" t="str">
        <f>'Verification of Boxes'!J17</f>
        <v>MITCHELL</v>
      </c>
      <c r="D64" s="153" t="str">
        <f>'Verification of Boxes'!K17</f>
        <v>UUP</v>
      </c>
      <c r="E64" s="109">
        <f>'Verification of Boxes'!L17</f>
        <v>870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71">
        <f>'Stage 16'!R64</f>
        <v>0</v>
      </c>
      <c r="S64" s="135">
        <f>'Stage 16'!S64</f>
        <v>0</v>
      </c>
      <c r="T64" s="159">
        <f t="shared" si="42"/>
        <v>0</v>
      </c>
      <c r="U64" s="39">
        <f t="shared" si="43"/>
        <v>0</v>
      </c>
      <c r="V64" s="157"/>
      <c r="W64" s="37"/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1:75" ht="13" thickBot="1" x14ac:dyDescent="0.3">
      <c r="A65" s="20" t="str">
        <f>IF('Stage 16'!A65&lt;&gt;0,'Stage 16'!A65,IF(U65&gt;=$M$3,"Elected",IF(BP16&lt;&gt;0,"Excluded",0)))</f>
        <v>Excluded</v>
      </c>
      <c r="B65" s="235">
        <f>'Stage 16'!B65</f>
        <v>0</v>
      </c>
      <c r="C65" s="20" t="str">
        <f>'Verification of Boxes'!J18</f>
        <v>PALMER</v>
      </c>
      <c r="D65" s="153" t="str">
        <f>'Verification of Boxes'!K18</f>
        <v>UUP</v>
      </c>
      <c r="E65" s="109">
        <f>'Verification of Boxes'!L18</f>
        <v>625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71">
        <f>'Stage 16'!R65</f>
        <v>0</v>
      </c>
      <c r="S65" s="135">
        <f>'Stage 16'!S65</f>
        <v>0</v>
      </c>
      <c r="T65" s="159">
        <f t="shared" si="42"/>
        <v>0</v>
      </c>
      <c r="U65" s="39">
        <f t="shared" si="43"/>
        <v>0</v>
      </c>
      <c r="V65" s="157"/>
      <c r="W65" s="37"/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1:75" ht="14.25" customHeight="1" thickBot="1" x14ac:dyDescent="0.3">
      <c r="A66" s="20">
        <f>IF('Stage 16'!A66&lt;&gt;0,'Stage 16'!A66,IF(U66&gt;=$M$3,"Elected",IF(BP17&lt;&gt;0,"Excluded",0)))</f>
        <v>0</v>
      </c>
      <c r="B66" s="235">
        <f>'Stage 16'!B66</f>
        <v>6</v>
      </c>
      <c r="C66" s="20" t="str">
        <f>'Verification of Boxes'!J19</f>
        <v>PORTER</v>
      </c>
      <c r="D66" s="153" t="str">
        <f>'Verification of Boxes'!K19</f>
        <v>D.U.P.</v>
      </c>
      <c r="E66" s="109">
        <f>'Verification of Boxes'!L19</f>
        <v>687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71">
        <f>'Stage 16'!R66</f>
        <v>0</v>
      </c>
      <c r="S66" s="135">
        <f>'Stage 16'!S66</f>
        <v>0</v>
      </c>
      <c r="T66" s="159">
        <f t="shared" si="42"/>
        <v>0</v>
      </c>
      <c r="U66" s="39">
        <f t="shared" si="43"/>
        <v>0</v>
      </c>
      <c r="V66" s="157"/>
      <c r="W66" s="37"/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1:75" ht="13" thickBot="1" x14ac:dyDescent="0.3">
      <c r="A67" s="20">
        <f>IF('Stage 16'!A67&lt;&gt;0,'Stage 16'!A67,IF(U67&gt;=$M$3,"Elected",IF(BP18&lt;&gt;0,"Excluded",0)))</f>
        <v>0</v>
      </c>
      <c r="B67" s="235">
        <f>'Stage 16'!B67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71">
        <f>'Stage 16'!R67</f>
        <v>0</v>
      </c>
      <c r="S67" s="135">
        <f>'Stage 16'!S67</f>
        <v>0</v>
      </c>
      <c r="T67" s="159">
        <f t="shared" si="42"/>
        <v>0</v>
      </c>
      <c r="U67" s="39">
        <f t="shared" si="43"/>
        <v>0</v>
      </c>
      <c r="V67" s="157"/>
      <c r="W67" s="37"/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W67" s="5">
        <f t="shared" si="41"/>
        <v>0</v>
      </c>
    </row>
    <row r="68" spans="1:75" ht="13" thickBot="1" x14ac:dyDescent="0.3">
      <c r="A68" s="20">
        <f>IF('Stage 16'!A68&lt;&gt;0,'Stage 16'!A68,IF(U68&gt;=$M$3,"Elected",IF(BP19&lt;&gt;0,"Excluded",0)))</f>
        <v>0</v>
      </c>
      <c r="B68" s="235">
        <f>'Stage 16'!B68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71">
        <f>'Stage 16'!R68</f>
        <v>0</v>
      </c>
      <c r="S68" s="135">
        <f>'Stage 16'!S68</f>
        <v>0</v>
      </c>
      <c r="T68" s="159">
        <f t="shared" si="42"/>
        <v>0</v>
      </c>
      <c r="U68" s="39">
        <f t="shared" si="43"/>
        <v>0</v>
      </c>
      <c r="V68" s="157"/>
      <c r="W68" s="37"/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W68" s="5">
        <f t="shared" si="41"/>
        <v>0</v>
      </c>
    </row>
    <row r="69" spans="1:75" ht="12.75" customHeight="1" thickBot="1" x14ac:dyDescent="0.3">
      <c r="A69" s="20">
        <f>IF('Stage 16'!A69&lt;&gt;0,'Stage 16'!A69,IF(U69&gt;=$M$3,"Elected",IF(BP20&lt;&gt;0,"Excluded",0)))</f>
        <v>0</v>
      </c>
      <c r="B69" s="235">
        <f>'Stage 16'!B69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71">
        <f>'Stage 16'!R69</f>
        <v>0</v>
      </c>
      <c r="S69" s="135">
        <f>'Stage 16'!S69</f>
        <v>0</v>
      </c>
      <c r="T69" s="159">
        <f t="shared" si="42"/>
        <v>0</v>
      </c>
      <c r="U69" s="39">
        <f t="shared" si="43"/>
        <v>0</v>
      </c>
      <c r="V69" s="157"/>
      <c r="W69" s="37"/>
      <c r="BG69" t="s">
        <v>219</v>
      </c>
      <c r="BI69" s="5">
        <f>BG26</f>
        <v>0</v>
      </c>
      <c r="BJ69" s="5">
        <f>CE28</f>
        <v>0</v>
      </c>
      <c r="BK69" s="5">
        <f>BI69+BJ69</f>
        <v>0</v>
      </c>
      <c r="BW69" s="5">
        <f>SUM(BW49:BW68)</f>
        <v>0</v>
      </c>
    </row>
    <row r="70" spans="1:75" ht="13" thickBot="1" x14ac:dyDescent="0.3">
      <c r="A70" s="20">
        <f>IF('Stage 16'!A70&lt;&gt;0,'Stage 16'!A70,IF(U70&gt;=$M$3,"Elected",IF(BP21&lt;&gt;0,"Excluded",0)))</f>
        <v>0</v>
      </c>
      <c r="B70" s="235">
        <f>'Stage 16'!B70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71">
        <f>'Stage 16'!R70</f>
        <v>0</v>
      </c>
      <c r="S70" s="135">
        <f>'Stage 16'!S70</f>
        <v>0</v>
      </c>
      <c r="T70" s="159">
        <f t="shared" si="42"/>
        <v>0</v>
      </c>
      <c r="U70" s="39">
        <f t="shared" si="43"/>
        <v>0</v>
      </c>
      <c r="V70" s="157"/>
      <c r="W70" s="37"/>
      <c r="BK70" s="5">
        <f>BG27+CE29</f>
        <v>0</v>
      </c>
    </row>
    <row r="71" spans="1:75" ht="13" thickBot="1" x14ac:dyDescent="0.3">
      <c r="A71" s="20">
        <f>IF('Stage 16'!A71&lt;&gt;0,'Stage 16'!A71,IF(U71&gt;=$M$3,"Elected",IF(BP22&lt;&gt;0,"Excluded",0)))</f>
        <v>0</v>
      </c>
      <c r="B71" s="235">
        <f>'Stage 16'!B71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71">
        <f>'Stage 16'!R71</f>
        <v>0</v>
      </c>
      <c r="S71" s="135">
        <f>'Stage 16'!S71</f>
        <v>0</v>
      </c>
      <c r="T71" s="159">
        <f t="shared" si="42"/>
        <v>0</v>
      </c>
      <c r="U71" s="39">
        <f t="shared" si="43"/>
        <v>0</v>
      </c>
      <c r="V71" s="157"/>
      <c r="W71" s="37"/>
    </row>
    <row r="72" spans="1:75" ht="13" thickBot="1" x14ac:dyDescent="0.3">
      <c r="A72" s="20">
        <f>IF('Stage 16'!A72&lt;&gt;0,'Stage 16'!A72,IF(U72&gt;=$M$3,"Elected",IF(BP23&lt;&gt;0,"Excluded",0)))</f>
        <v>0</v>
      </c>
      <c r="B72" s="235">
        <f>'Stage 16'!B72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71">
        <f>'Stage 16'!R72</f>
        <v>0</v>
      </c>
      <c r="S72" s="135">
        <f>'Stage 16'!S72</f>
        <v>0</v>
      </c>
      <c r="T72" s="159">
        <f t="shared" si="42"/>
        <v>0</v>
      </c>
      <c r="U72" s="39">
        <f t="shared" si="43"/>
        <v>0</v>
      </c>
      <c r="V72" s="157"/>
      <c r="W72" s="37"/>
    </row>
    <row r="73" spans="1:75" ht="13" thickBot="1" x14ac:dyDescent="0.3">
      <c r="A73" s="20">
        <f>IF('Stage 16'!A73&lt;&gt;0,'Stage 16'!A73,IF(U73&gt;=$M$3,"Elected",IF(BP24&lt;&gt;0,"Excluded",0)))</f>
        <v>0</v>
      </c>
      <c r="B73" s="235">
        <f>'Stage 16'!B73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71">
        <f>'Stage 16'!R73</f>
        <v>0</v>
      </c>
      <c r="S73" s="135">
        <f>'Stage 16'!S73</f>
        <v>0</v>
      </c>
      <c r="T73" s="159">
        <f t="shared" si="42"/>
        <v>0</v>
      </c>
      <c r="U73" s="39">
        <f t="shared" si="43"/>
        <v>0</v>
      </c>
      <c r="V73" s="157"/>
      <c r="W73" s="37"/>
    </row>
    <row r="74" spans="1:75" ht="13" thickBot="1" x14ac:dyDescent="0.3">
      <c r="A74" s="20">
        <f>IF('Stage 16'!A74&lt;&gt;0,'Stage 16'!A74,IF(U74&gt;=$M$3,"Elected",IF(BP25&lt;&gt;0,"Excluded",0)))</f>
        <v>0</v>
      </c>
      <c r="B74" s="235">
        <f>'Stage 16'!B74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71">
        <f>'Stage 16'!R74</f>
        <v>0</v>
      </c>
      <c r="S74" s="135">
        <f>'Stage 16'!S74</f>
        <v>0</v>
      </c>
      <c r="T74" s="159">
        <f t="shared" si="42"/>
        <v>0</v>
      </c>
      <c r="U74" s="39">
        <f t="shared" si="43"/>
        <v>0</v>
      </c>
      <c r="V74" s="157"/>
      <c r="W74" s="37"/>
    </row>
    <row r="75" spans="1:75" ht="13" thickBot="1" x14ac:dyDescent="0.3">
      <c r="A75" s="20">
        <f>IF('Stage 16'!A75&lt;&gt;0,'Stage 16'!A75,IF(U75&gt;=$M$3,"Elected",IF(BP26&lt;&gt;0,"Excluded",0)))</f>
        <v>0</v>
      </c>
      <c r="B75" s="235">
        <f>'Stage 16'!B75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71">
        <f>'Stage 16'!R75</f>
        <v>0</v>
      </c>
      <c r="S75" s="135">
        <f>'Stage 16'!S75</f>
        <v>0</v>
      </c>
      <c r="T75" s="159">
        <f t="shared" si="42"/>
        <v>0</v>
      </c>
      <c r="U75" s="39">
        <f t="shared" si="43"/>
        <v>0</v>
      </c>
      <c r="V75" s="157"/>
      <c r="W75" s="37"/>
    </row>
    <row r="76" spans="1:75" ht="13" thickBot="1" x14ac:dyDescent="0.3">
      <c r="A76" s="21">
        <f>IF('Stage 16'!A76&lt;&gt;0,'Stage 16'!A76,IF(U76&gt;=$M$3,"Elected",IF(BP27&lt;&gt;0,"Excluded",0)))</f>
        <v>0</v>
      </c>
      <c r="B76" s="235">
        <f>'Stage 16'!B76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71">
        <f>'Stage 16'!R76</f>
        <v>0</v>
      </c>
      <c r="S76" s="135">
        <f>'Stage 16'!S76</f>
        <v>0</v>
      </c>
      <c r="T76" s="159">
        <f t="shared" si="42"/>
        <v>0</v>
      </c>
      <c r="U76" s="39">
        <f t="shared" si="43"/>
        <v>0</v>
      </c>
      <c r="V76" s="157"/>
      <c r="W76" s="37"/>
    </row>
    <row r="77" spans="1:75" ht="13" thickBot="1" x14ac:dyDescent="0.3">
      <c r="D77" s="25" t="s">
        <v>118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'Stage 16'!R77</f>
        <v>0</v>
      </c>
      <c r="S77" s="135">
        <f>'Stage 16'!S77</f>
        <v>0</v>
      </c>
      <c r="T77" s="71">
        <f>$BK69</f>
        <v>0</v>
      </c>
      <c r="U77" s="41">
        <f t="shared" si="43"/>
        <v>0</v>
      </c>
      <c r="V77" s="157"/>
      <c r="W77" s="37"/>
    </row>
    <row r="78" spans="1:75" ht="13" thickBot="1" x14ac:dyDescent="0.3">
      <c r="D78" s="42" t="s">
        <v>119</v>
      </c>
      <c r="E78" s="45">
        <f>SUM(E57:E76)</f>
        <v>7496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135">
        <f>'Stage 16'!S78</f>
        <v>0</v>
      </c>
      <c r="T78" s="191"/>
      <c r="U78" s="50">
        <f>SUM(U57:U77)</f>
        <v>0</v>
      </c>
      <c r="V78" s="202"/>
      <c r="W78" s="37"/>
    </row>
    <row r="79" spans="1:75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s="135" t="str">
        <f>'Stage 16'!S79</f>
        <v>ERROR</v>
      </c>
      <c r="U79" t="str">
        <f>IF(U78=$G50,"Totals Correct","ERROR")</f>
        <v>ERROR</v>
      </c>
    </row>
    <row r="80" spans="1:75" ht="13" thickBot="1" x14ac:dyDescent="0.3">
      <c r="D80" s="42" t="s">
        <v>120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221">
        <f>'Stage 16'!S80</f>
        <v>0</v>
      </c>
      <c r="T80" s="219"/>
      <c r="U80" s="183"/>
      <c r="V80" s="219"/>
      <c r="W80" s="185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329</v>
      </c>
      <c r="DF210" s="231" t="s">
        <v>221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T57</f>
        <v>0</v>
      </c>
      <c r="DF211" s="233">
        <f>U57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FLYNN</v>
      </c>
      <c r="DC212" s="232" t="str">
        <f t="shared" si="49"/>
        <v>Sinn Féin</v>
      </c>
      <c r="DD212" s="233">
        <f t="shared" si="49"/>
        <v>493</v>
      </c>
      <c r="DE212" s="233">
        <f t="shared" ref="DE212:DF212" si="50">T58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FRENCH</v>
      </c>
      <c r="DC213" s="232" t="str">
        <f t="shared" si="49"/>
        <v xml:space="preserve">SDLP </v>
      </c>
      <c r="DD213" s="233">
        <f t="shared" si="49"/>
        <v>472</v>
      </c>
      <c r="DE213" s="233">
        <f t="shared" ref="DE213:DF213" si="51">T59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GIVAN</v>
      </c>
      <c r="DC214" s="232" t="str">
        <f t="shared" si="49"/>
        <v>D.U.P.</v>
      </c>
      <c r="DD214" s="233">
        <f t="shared" si="49"/>
        <v>1038</v>
      </c>
      <c r="DE214" s="233">
        <f t="shared" ref="DE214:DF214" si="52">T60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E2</v>
      </c>
      <c r="DB215" s="232" t="str">
        <f t="shared" si="49"/>
        <v>GREHAN</v>
      </c>
      <c r="DC215" s="232" t="str">
        <f t="shared" si="49"/>
        <v>Alliance Party</v>
      </c>
      <c r="DD215" s="233">
        <f t="shared" si="49"/>
        <v>1111</v>
      </c>
      <c r="DE215" s="233">
        <f t="shared" ref="DE215:DF215" si="53">T61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E4</v>
      </c>
      <c r="DB216" s="232" t="str">
        <f t="shared" si="49"/>
        <v>KENNEDY</v>
      </c>
      <c r="DC216" s="232" t="str">
        <f t="shared" si="49"/>
        <v>Alliance Party</v>
      </c>
      <c r="DD216" s="233">
        <f t="shared" si="49"/>
        <v>674</v>
      </c>
      <c r="DE216" s="233">
        <f t="shared" ref="DE216:DF216" si="54">T62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MCEVOY</v>
      </c>
      <c r="DC217" s="232" t="str">
        <f t="shared" si="49"/>
        <v xml:space="preserve">TUV </v>
      </c>
      <c r="DD217" s="233">
        <f t="shared" si="49"/>
        <v>387</v>
      </c>
      <c r="DE217" s="233">
        <f t="shared" ref="DE217:DF217" si="55">T63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5</v>
      </c>
      <c r="DB218" s="232" t="str">
        <f t="shared" si="49"/>
        <v>MITCHELL</v>
      </c>
      <c r="DC218" s="232" t="str">
        <f t="shared" si="49"/>
        <v>UUP</v>
      </c>
      <c r="DD218" s="233">
        <f t="shared" si="49"/>
        <v>870</v>
      </c>
      <c r="DE218" s="233">
        <f t="shared" ref="DE218:DF218" si="56">T64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PALMER</v>
      </c>
      <c r="DC219" s="232" t="str">
        <f t="shared" si="49"/>
        <v>UUP</v>
      </c>
      <c r="DD219" s="233">
        <f t="shared" si="49"/>
        <v>625</v>
      </c>
      <c r="DE219" s="233">
        <f t="shared" ref="DE219:DF219" si="57">T65</f>
        <v>0</v>
      </c>
      <c r="DF219" s="233">
        <f t="shared" si="57"/>
        <v>0</v>
      </c>
    </row>
    <row r="220" spans="105:110" ht="15.5" x14ac:dyDescent="0.35">
      <c r="DA220" s="232" t="str">
        <f t="shared" si="48"/>
        <v>6</v>
      </c>
      <c r="DB220" s="232" t="str">
        <f t="shared" si="49"/>
        <v>PORTER</v>
      </c>
      <c r="DC220" s="232" t="str">
        <f t="shared" si="49"/>
        <v>D.U.P.</v>
      </c>
      <c r="DD220" s="233">
        <f t="shared" si="49"/>
        <v>687</v>
      </c>
      <c r="DE220" s="233">
        <f t="shared" ref="DE220:DF220" si="58">T66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T67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T68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T69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T70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T71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T72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T73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T74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T75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T76</f>
        <v>0</v>
      </c>
      <c r="DF230" s="233">
        <f t="shared" si="69"/>
        <v>0</v>
      </c>
    </row>
    <row r="231" spans="105:110" ht="15.5" x14ac:dyDescent="0.35">
      <c r="DC231" s="234" t="s">
        <v>123</v>
      </c>
      <c r="DD231" s="234"/>
      <c r="DE231" s="233">
        <f t="shared" ref="DE231:DF231" si="70">T77</f>
        <v>0</v>
      </c>
      <c r="DF231" s="233">
        <f t="shared" si="70"/>
        <v>0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 t="shared" ref="DF232" si="71">U78</f>
        <v>0</v>
      </c>
    </row>
  </sheetData>
  <sheetProtection sheet="1" objects="1" scenarios="1"/>
  <protectedRanges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T3:BZ3" name="Range8"/>
    <protectedRange sqref="BC10" name="Range4"/>
    <protectedRange sqref="BC13:BC14" name="Range5"/>
    <protectedRange sqref="BF5:BF24" name="Range6"/>
    <protectedRange sqref="BF26" name="Range7"/>
    <protectedRange sqref="BP8:BP27" name="Range22"/>
    <protectedRange sqref="BH5:BH24" name="Range21"/>
    <protectedRange sqref="U80" name="Range20"/>
    <protectedRange sqref="AQ5" name="Range3_1"/>
  </protectedRanges>
  <mergeCells count="128">
    <mergeCell ref="CB31:CE32"/>
    <mergeCell ref="BF30:BG32"/>
    <mergeCell ref="AO25:AP25"/>
    <mergeCell ref="BI30:BK31"/>
    <mergeCell ref="AQ6:AR7"/>
    <mergeCell ref="V7:W7"/>
    <mergeCell ref="AL28:AQ29"/>
    <mergeCell ref="AL31:AQ32"/>
    <mergeCell ref="AJ25:AK25"/>
    <mergeCell ref="AJ24:AK24"/>
    <mergeCell ref="AO23:AP23"/>
    <mergeCell ref="AO24:AP24"/>
    <mergeCell ref="BX30:BY32"/>
    <mergeCell ref="P9:Q9"/>
    <mergeCell ref="R9:S9"/>
    <mergeCell ref="CB2:CE2"/>
    <mergeCell ref="BI3:BK3"/>
    <mergeCell ref="BI2:BK2"/>
    <mergeCell ref="BT3:BZ3"/>
    <mergeCell ref="BP5:BP7"/>
    <mergeCell ref="H6:I6"/>
    <mergeCell ref="F7:G7"/>
    <mergeCell ref="H7:I7"/>
    <mergeCell ref="F8:G8"/>
    <mergeCell ref="H8:I8"/>
    <mergeCell ref="L7:M7"/>
    <mergeCell ref="N6:O6"/>
    <mergeCell ref="N7:O7"/>
    <mergeCell ref="N8:O8"/>
    <mergeCell ref="P8:Q8"/>
    <mergeCell ref="P7:Q7"/>
    <mergeCell ref="P6:Q6"/>
    <mergeCell ref="F6:G6"/>
    <mergeCell ref="AL3:AQ3"/>
    <mergeCell ref="T7:U7"/>
    <mergeCell ref="T8:U8"/>
    <mergeCell ref="V6:W6"/>
    <mergeCell ref="U4:W4"/>
    <mergeCell ref="Z2:AF2"/>
    <mergeCell ref="K1:L1"/>
    <mergeCell ref="H3:I3"/>
    <mergeCell ref="O4:S4"/>
    <mergeCell ref="O3:S3"/>
    <mergeCell ref="H4:I4"/>
    <mergeCell ref="AK9:AP10"/>
    <mergeCell ref="Z3:AF3"/>
    <mergeCell ref="J8:K8"/>
    <mergeCell ref="J6:K6"/>
    <mergeCell ref="J7:K7"/>
    <mergeCell ref="Z4:AF4"/>
    <mergeCell ref="Z6:AF7"/>
    <mergeCell ref="AK6:AP7"/>
    <mergeCell ref="R8:S8"/>
    <mergeCell ref="R7:S7"/>
    <mergeCell ref="R6:S6"/>
    <mergeCell ref="L8:M8"/>
    <mergeCell ref="L6:M6"/>
    <mergeCell ref="H9:I9"/>
    <mergeCell ref="J9:K9"/>
    <mergeCell ref="L9:M9"/>
    <mergeCell ref="N9:O9"/>
    <mergeCell ref="V52:W52"/>
    <mergeCell ref="T53:U53"/>
    <mergeCell ref="E3:F3"/>
    <mergeCell ref="E4:F4"/>
    <mergeCell ref="F9:G9"/>
    <mergeCell ref="O2:S2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M13:AM17"/>
    <mergeCell ref="AO13:AO17"/>
    <mergeCell ref="AQ13:AQ17"/>
    <mergeCell ref="AP13:AP17"/>
    <mergeCell ref="AQ9:AR10"/>
    <mergeCell ref="T9:U9"/>
    <mergeCell ref="AL13:AL17"/>
    <mergeCell ref="AN13:AN19"/>
    <mergeCell ref="V8:W8"/>
    <mergeCell ref="T6:U6"/>
    <mergeCell ref="K47:L47"/>
    <mergeCell ref="L55:M55"/>
    <mergeCell ref="L54:M54"/>
    <mergeCell ref="N52:O52"/>
    <mergeCell ref="P52:Q52"/>
    <mergeCell ref="R52:S52"/>
    <mergeCell ref="N53:O53"/>
    <mergeCell ref="P53:Q53"/>
    <mergeCell ref="R53:S53"/>
    <mergeCell ref="R55:S55"/>
    <mergeCell ref="J55:K55"/>
    <mergeCell ref="K49:L49"/>
    <mergeCell ref="O48:S48"/>
    <mergeCell ref="N55:O55"/>
    <mergeCell ref="P55:Q55"/>
    <mergeCell ref="J53:K53"/>
    <mergeCell ref="L53:M53"/>
    <mergeCell ref="J52:K52"/>
    <mergeCell ref="L52:M52"/>
    <mergeCell ref="DE209:DF209"/>
    <mergeCell ref="E49:F49"/>
    <mergeCell ref="H49:I49"/>
    <mergeCell ref="T54:U54"/>
    <mergeCell ref="F54:G54"/>
    <mergeCell ref="H54:I54"/>
    <mergeCell ref="J54:K54"/>
    <mergeCell ref="V54:W54"/>
    <mergeCell ref="N54:O54"/>
    <mergeCell ref="P54:Q54"/>
    <mergeCell ref="R54:S54"/>
    <mergeCell ref="O49:S49"/>
    <mergeCell ref="O50:S50"/>
    <mergeCell ref="V53:W53"/>
    <mergeCell ref="U50:W50"/>
    <mergeCell ref="F53:G53"/>
    <mergeCell ref="H53:I53"/>
    <mergeCell ref="F52:G52"/>
    <mergeCell ref="H52:I52"/>
    <mergeCell ref="F55:G55"/>
    <mergeCell ref="H55:I55"/>
    <mergeCell ref="T55:U55"/>
    <mergeCell ref="V55:W55"/>
    <mergeCell ref="T52:U52"/>
  </mergeCells>
  <phoneticPr fontId="0" type="noConversion"/>
  <conditionalFormatting sqref="AL3">
    <cfRule type="cellIs" dxfId="14" priority="1" stopIfTrue="1" operator="notEqual">
      <formula>0</formula>
    </cfRule>
  </conditionalFormatting>
  <conditionalFormatting sqref="BF30:BG31">
    <cfRule type="cellIs" dxfId="13" priority="2" stopIfTrue="1" operator="equal">
      <formula>"NONE"</formula>
    </cfRule>
    <cfRule type="cellIs" dxfId="12" priority="3" stopIfTrue="1" operator="notEqual">
      <formula>"NONE"</formula>
    </cfRule>
  </conditionalFormatting>
  <conditionalFormatting sqref="BX30">
    <cfRule type="cellIs" dxfId="11" priority="4" stopIfTrue="1" operator="equal">
      <formula>"Calculations OK"</formula>
    </cfRule>
    <cfRule type="cellIs" dxfId="10" priority="5" stopIfTrue="1" operator="equal">
      <formula>"Check Count for Error"</formula>
    </cfRule>
  </conditionalFormatting>
  <conditionalFormatting sqref="V50:W50 V4:W4">
    <cfRule type="cellIs" dxfId="9" priority="6" stopIfTrue="1" operator="equal">
      <formula>"Totals Correct"</formula>
    </cfRule>
    <cfRule type="cellIs" dxfId="8" priority="7" stopIfTrue="1" operator="equal">
      <formula>"ERROR"</formula>
    </cfRule>
  </conditionalFormatting>
  <conditionalFormatting sqref="U50 U4">
    <cfRule type="cellIs" dxfId="7" priority="8" stopIfTrue="1" operator="equal">
      <formula>"OK TO MOVE TO NEXT STAGE"</formula>
    </cfRule>
    <cfRule type="cellIs" dxfId="6" priority="9" stopIfTrue="1" operator="equal">
      <formula>"DO NOT MOVE TO NEXT STAGE"</formula>
    </cfRule>
  </conditionalFormatting>
  <hyperlinks>
    <hyperlink ref="BI3:BL3" location="'Stage 2'!Y1" display="MOVE TO DECISION FORM"/>
    <hyperlink ref="Z6:AF7" location="'Stage 16'!A83:W83" display="BACK to Overview of STAGE 16"/>
    <hyperlink ref="AL28" location="'Stage 2'!BI1" display="MOVE TO TRANSFER OF SURPLUS VOTES FORM"/>
    <hyperlink ref="AL31" location="'Stage 2'!CC1" display="MOVE TO EXCLUDE CANDIDATE FORM"/>
    <hyperlink ref="AL28:AQ29" location="'Stage 17'!AY1:BK1" display="MOVE TO TRANSFER OF SURPLUS VOTES FORM"/>
    <hyperlink ref="AL31:AQ32" location="'Stage 17'!BN1:CE1" display="MOVE TO EXCLUDE CANDIDATE FORM"/>
    <hyperlink ref="BI3:BK3" location="'Stage 17'!Y1:AR1" display="BACK to DECISION FORM"/>
    <hyperlink ref="BI30:BK31" location="'Stage 17'!A83:W83" display="FORWARD to OVERVIEW OF STAGE 17"/>
    <hyperlink ref="CB2" location="'Stage 2'!AQ5" display="MOVE TO NEXT FORM"/>
    <hyperlink ref="CB2:CE2" location="'Stage 17'!Y1:AR1" display="BACK to DECISION FORM"/>
    <hyperlink ref="CB31" location="'Stage 2'!A1" display="HOME TO OVERVIEW OF STAGE 2"/>
    <hyperlink ref="CB31:CE32" location="'Stage 17'!A83:W83" display="FORWARD to OVERVIEW OF STAGE 17"/>
    <hyperlink ref="O50" location="'Stage 3'!A1" display="MOVE TO STAGE 3"/>
    <hyperlink ref="O48" location="'Stage 3'!A1" display="MOVE TO STAGE 3"/>
    <hyperlink ref="O48:S48" location="'Stage 17'!Y1:AR1" display="BACK to DECISION FORM Stage 17"/>
    <hyperlink ref="O50:S50" location="'Stage 18'!Y1:AR1" display="FORWARD TO STAGE 18"/>
    <hyperlink ref="O4" location="'Stage 3'!A1" display="MOVE TO STAGE 3"/>
    <hyperlink ref="O2" location="'Stage 3'!A1" display="MOVE TO STAGE 3"/>
    <hyperlink ref="O2:S2" location="'Stage 17'!Y1:AR1" display="BACK to DECISION FORM Stage 17"/>
    <hyperlink ref="O4:S4" location="'Stage 18'!Y1:AR1" display="FORWARD TO STAGE 18"/>
    <hyperlink ref="O3:S3" location="'Stage 17'!A83:W83" display="OVERVIEW OF STAGES 10 - 17"/>
    <hyperlink ref="O49:S49" location="'Stage 17'!A1" display="OVERVIEW OF STAGES 1 - 10"/>
  </hyperlinks>
  <pageMargins left="0.75" right="0.75" top="1" bottom="1" header="0.5" footer="0.5"/>
  <pageSetup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DF232"/>
  <sheetViews>
    <sheetView showGridLines="0" showZeros="0" zoomScale="75" workbookViewId="0">
      <selection activeCell="V7" sqref="V7:W7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4.90625" customWidth="1"/>
    <col min="25" max="25" width="4.4531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9.54296875" customWidth="1"/>
    <col min="43" max="43" width="10.08984375" customWidth="1"/>
    <col min="44" max="44" width="15.6328125" customWidth="1"/>
    <col min="45" max="45" width="213.54296875" customWidth="1"/>
    <col min="50" max="50" width="219" customWidth="1"/>
    <col min="51" max="51" width="8.632812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21" customWidth="1"/>
    <col min="68" max="68" width="9.6328125" customWidth="1"/>
    <col min="69" max="69" width="7.08984375" customWidth="1"/>
    <col min="70" max="70" width="1.6328125" customWidth="1"/>
    <col min="71" max="71" width="24.90625" customWidth="1"/>
    <col min="84" max="84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286</v>
      </c>
      <c r="J1" s="85" t="s">
        <v>37</v>
      </c>
      <c r="K1" s="319">
        <f>'Basic Input'!C2</f>
        <v>45064</v>
      </c>
      <c r="L1" s="319"/>
      <c r="Z1" s="10" t="s">
        <v>330</v>
      </c>
      <c r="AQ1" s="33"/>
      <c r="AZ1" s="10" t="s">
        <v>126</v>
      </c>
      <c r="BE1" s="34" t="str">
        <f>IF(AT5="T","COMPLETE THIS FORM","YOU HAVE NOT SELECTED TO COMPLETE THIS FORM")</f>
        <v>YOU HAVE NOT SELECTED TO COMPLETE THIS FORM</v>
      </c>
      <c r="BS1" s="10" t="s">
        <v>127</v>
      </c>
      <c r="BZ1" s="34" t="str">
        <f>IF(AU5="E","COMPLETE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331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I2" s="313"/>
      <c r="BJ2" s="313"/>
      <c r="BK2" s="313"/>
      <c r="BS2" s="36" t="s">
        <v>286</v>
      </c>
      <c r="CC2" s="345" t="s">
        <v>131</v>
      </c>
      <c r="CD2" s="346"/>
      <c r="CE2" s="346"/>
      <c r="CF2" s="347"/>
    </row>
    <row r="3" spans="1:105" ht="18.5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76" t="s">
        <v>332</v>
      </c>
      <c r="P3" s="377"/>
      <c r="Q3" s="377"/>
      <c r="R3" s="377"/>
      <c r="S3" s="378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0</v>
      </c>
      <c r="AJ3" s="163"/>
      <c r="AK3" s="163"/>
      <c r="AL3" s="352">
        <f>IF(AQ5="n","MOVE TO EXCLUDE CANDIDATE FORM",IF(AQ5="y","MOVE TO TRANSFER OF SURPLUS VOTES FORM",0))</f>
        <v>0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L3" s="114"/>
      <c r="BS3" s="81" t="s">
        <v>133</v>
      </c>
      <c r="BT3" s="82"/>
      <c r="BU3" s="348"/>
      <c r="BV3" s="349"/>
      <c r="BW3" s="349"/>
      <c r="BX3" s="349"/>
      <c r="BY3" s="349"/>
      <c r="BZ3" s="349"/>
      <c r="CA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79"/>
      <c r="P4" s="379"/>
      <c r="Q4" s="379"/>
      <c r="R4" s="379"/>
      <c r="S4" s="379"/>
      <c r="U4" s="380" t="str">
        <f>IF(W79="ERROR","DO NOT MOVE TO NEXT STAGE","SWITCH TO PAPER SYSTEM")</f>
        <v>DO NOT MOVE TO NEXT STAGE</v>
      </c>
      <c r="V4" s="380"/>
      <c r="W4" s="380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S4" t="s">
        <v>141</v>
      </c>
    </row>
    <row r="5" spans="1:105" ht="20.2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/>
      <c r="AT5" s="7">
        <f>IF(AQ5=0,0,IF(AQ5="Y","T","E"))</f>
        <v>0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IF(A57&lt;&gt;0,A57,0)</f>
        <v>Elected</v>
      </c>
      <c r="BJ5" s="5" t="str">
        <f>IF(C57=0,0,IF(U57=0,"Excluded",0))</f>
        <v>Excluded</v>
      </c>
      <c r="BQ5" s="301" t="s">
        <v>145</v>
      </c>
      <c r="BS5" s="5"/>
      <c r="BT5" s="83" t="s">
        <v>146</v>
      </c>
      <c r="BU5" s="84"/>
      <c r="BV5" s="83" t="s">
        <v>147</v>
      </c>
      <c r="BW5" s="84"/>
      <c r="BX5" s="83" t="s">
        <v>148</v>
      </c>
      <c r="BY5" s="121"/>
      <c r="BZ5" s="83" t="s">
        <v>148</v>
      </c>
      <c r="CA5" s="121"/>
      <c r="CB5" s="83" t="s">
        <v>148</v>
      </c>
      <c r="CC5" s="121"/>
      <c r="CD5" s="83" t="s">
        <v>148</v>
      </c>
      <c r="CE5" s="121"/>
      <c r="CF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27" t="s">
        <v>333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Transfer</v>
      </c>
      <c r="AR6" s="302"/>
      <c r="AS6" s="181"/>
      <c r="AT6" s="91"/>
      <c r="AU6" s="91"/>
      <c r="AW6" s="33"/>
      <c r="AX6" s="33"/>
      <c r="AZ6" s="36" t="s">
        <v>286</v>
      </c>
      <c r="BA6" s="245"/>
      <c r="BE6" s="61" t="str">
        <f>'Verification of Boxes'!J11</f>
        <v>FLYNN</v>
      </c>
      <c r="BF6" s="64"/>
      <c r="BG6" s="100">
        <f t="shared" si="0"/>
        <v>0</v>
      </c>
      <c r="BH6" s="150"/>
      <c r="BI6" s="5" t="str">
        <f t="shared" ref="BI6:BI24" si="1">IF(A58&lt;&gt;0,A58,0)</f>
        <v>Excluded</v>
      </c>
      <c r="BJ6" s="5" t="str">
        <f t="shared" ref="BJ6:BJ24" si="2">IF(C58=0,0,IF(U58=0,"Excluded",0))</f>
        <v>Excluded</v>
      </c>
      <c r="BQ6" s="301"/>
      <c r="BS6" s="5"/>
      <c r="BT6" s="7" t="s">
        <v>153</v>
      </c>
      <c r="BU6" s="6">
        <v>1</v>
      </c>
      <c r="BV6" s="7" t="s">
        <v>153</v>
      </c>
      <c r="BW6" s="6">
        <v>1</v>
      </c>
      <c r="BX6" s="120" t="s">
        <v>153</v>
      </c>
      <c r="BY6" s="65"/>
      <c r="BZ6" s="122" t="s">
        <v>153</v>
      </c>
      <c r="CA6" s="65"/>
      <c r="CB6" s="122" t="s">
        <v>153</v>
      </c>
      <c r="CC6" s="65"/>
      <c r="CD6" s="122" t="s">
        <v>153</v>
      </c>
      <c r="CE6" s="65"/>
      <c r="CF6" s="204">
        <f>BT29+BV29+BX29+BZ29+CB29+CD29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 t="str">
        <f>'Stage 6'!N7:O7</f>
        <v>Exclude</v>
      </c>
      <c r="O7" s="362"/>
      <c r="P7" s="361" t="str">
        <f>'Stage 7'!P7:Q7</f>
        <v>Exclude</v>
      </c>
      <c r="Q7" s="362"/>
      <c r="R7" s="361" t="str">
        <f>'Stage 8'!R7:S7</f>
        <v>Transfer</v>
      </c>
      <c r="S7" s="362"/>
      <c r="T7" s="361" t="str">
        <f>'Stage 9'!T7:U7</f>
        <v>Exclude</v>
      </c>
      <c r="U7" s="362"/>
      <c r="V7" s="361">
        <f>'Stage 10'!V7:W7</f>
        <v>0</v>
      </c>
      <c r="W7" s="362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/>
      <c r="BG7" s="100">
        <f t="shared" si="0"/>
        <v>0</v>
      </c>
      <c r="BH7" s="150"/>
      <c r="BI7" s="5" t="str">
        <f t="shared" si="1"/>
        <v>Excluded</v>
      </c>
      <c r="BJ7" s="5" t="str">
        <f t="shared" si="2"/>
        <v>Excluded</v>
      </c>
      <c r="BN7" t="s">
        <v>155</v>
      </c>
      <c r="BP7" s="3" t="s">
        <v>156</v>
      </c>
      <c r="BQ7" s="351"/>
      <c r="BS7" s="5" t="s">
        <v>157</v>
      </c>
      <c r="BT7" s="5" t="s">
        <v>158</v>
      </c>
      <c r="BU7" s="5" t="s">
        <v>148</v>
      </c>
      <c r="BV7" s="5" t="s">
        <v>158</v>
      </c>
      <c r="BW7" s="5" t="s">
        <v>148</v>
      </c>
      <c r="BX7" s="5" t="s">
        <v>158</v>
      </c>
      <c r="BY7" s="118" t="s">
        <v>148</v>
      </c>
      <c r="BZ7" s="5" t="s">
        <v>158</v>
      </c>
      <c r="CA7" s="118" t="s">
        <v>148</v>
      </c>
      <c r="CB7" s="5" t="s">
        <v>158</v>
      </c>
      <c r="CC7" s="118" t="s">
        <v>148</v>
      </c>
      <c r="CD7" s="5" t="s">
        <v>158</v>
      </c>
      <c r="CE7" s="118" t="s">
        <v>148</v>
      </c>
      <c r="CF7" s="4" t="s">
        <v>159</v>
      </c>
    </row>
    <row r="8" spans="1:105" ht="15" customHeight="1" thickBot="1" x14ac:dyDescent="0.45">
      <c r="D8" s="25"/>
      <c r="E8" s="22"/>
      <c r="F8" s="363" t="str">
        <f>'Stage 2'!F8:G8</f>
        <v>EWING</v>
      </c>
      <c r="G8" s="364"/>
      <c r="H8" s="359" t="str">
        <f>'Stage 3'!H8:I8</f>
        <v xml:space="preserve"> MCEVOY</v>
      </c>
      <c r="I8" s="360"/>
      <c r="J8" s="359" t="str">
        <f>'Stage 4'!J8:K8</f>
        <v>GREHAN</v>
      </c>
      <c r="K8" s="360"/>
      <c r="L8" s="359" t="str">
        <f>'Stage 5'!L8:M8</f>
        <v>GIVAN</v>
      </c>
      <c r="M8" s="360"/>
      <c r="N8" s="359" t="str">
        <f>'Stage 6'!N8:O8</f>
        <v>FRENCH</v>
      </c>
      <c r="O8" s="360"/>
      <c r="P8" s="359" t="str">
        <f>'Stage 7'!P8:Q8</f>
        <v>FLYNN</v>
      </c>
      <c r="Q8" s="360"/>
      <c r="R8" s="359" t="str">
        <f>'Stage 8'!R8:S8</f>
        <v>KENNEDY</v>
      </c>
      <c r="S8" s="360"/>
      <c r="T8" s="359" t="str">
        <f>'Stage 9'!T8:U8</f>
        <v>PALMER</v>
      </c>
      <c r="U8" s="360"/>
      <c r="V8" s="359">
        <f>'Stage 10'!V8:W8</f>
        <v>0</v>
      </c>
      <c r="W8" s="360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GIVAN</v>
      </c>
      <c r="BF8" s="64"/>
      <c r="BG8" s="100">
        <f t="shared" si="0"/>
        <v>0</v>
      </c>
      <c r="BH8" s="150"/>
      <c r="BI8" s="5" t="str">
        <f t="shared" si="1"/>
        <v>Elected</v>
      </c>
      <c r="BJ8" s="5" t="str">
        <f t="shared" si="2"/>
        <v>Excluded</v>
      </c>
      <c r="BM8" s="3"/>
      <c r="BN8" s="5" t="str">
        <f>IF(A57&lt;&gt;0,A57,0)</f>
        <v>Elected</v>
      </c>
      <c r="BO8" s="5"/>
      <c r="BP8" s="7">
        <f t="shared" ref="BP8:BP27" si="3">IF(AA14&gt;=$M$3,"Elected",AA14)</f>
        <v>0</v>
      </c>
      <c r="BQ8" s="66"/>
      <c r="BS8" s="9" t="str">
        <f>'Verification of Boxes'!J10</f>
        <v>EWING</v>
      </c>
      <c r="BT8" s="64"/>
      <c r="BU8" s="5">
        <f t="shared" ref="BU8:BU29" si="4">BT8*BU$6</f>
        <v>0</v>
      </c>
      <c r="BV8" s="64"/>
      <c r="BW8" s="5">
        <f t="shared" ref="BW8:BW29" si="5">BV8*BW$6</f>
        <v>0</v>
      </c>
      <c r="BX8" s="64"/>
      <c r="BY8" s="5">
        <f t="shared" ref="BY8:BY29" si="6">BX8*BY$6</f>
        <v>0</v>
      </c>
      <c r="BZ8" s="64"/>
      <c r="CA8" s="5">
        <f t="shared" ref="CA8:CA29" si="7">BZ8*CA$6</f>
        <v>0</v>
      </c>
      <c r="CB8" s="64"/>
      <c r="CC8" s="5">
        <f t="shared" ref="CC8:CC29" si="8">CB8*CC$6</f>
        <v>0</v>
      </c>
      <c r="CD8" s="64"/>
      <c r="CE8" s="5">
        <f t="shared" ref="CE8:CE29" si="9">CD8*CE$6</f>
        <v>0</v>
      </c>
      <c r="CF8" s="5">
        <f t="shared" ref="CF8:CF28" si="10">BU8+BW8+BY8+CA8+CC8+CE8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115" t="s">
        <v>112</v>
      </c>
      <c r="W9" s="116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Transfer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 t="str">
        <f t="shared" si="2"/>
        <v>Excluded</v>
      </c>
      <c r="BM9" s="3"/>
      <c r="BN9" s="5" t="str">
        <f t="shared" ref="BN9:BN27" si="11">IF(A58&lt;&gt;0,A58,0)</f>
        <v>Excluded</v>
      </c>
      <c r="BO9" s="5"/>
      <c r="BP9" s="7">
        <f t="shared" si="3"/>
        <v>0</v>
      </c>
      <c r="BQ9" s="66"/>
      <c r="BS9" s="9" t="str">
        <f>'Verification of Boxes'!J11</f>
        <v>FLYNN</v>
      </c>
      <c r="BT9" s="64"/>
      <c r="BU9" s="5">
        <f t="shared" si="4"/>
        <v>0</v>
      </c>
      <c r="BV9" s="64"/>
      <c r="BW9" s="5">
        <f t="shared" si="5"/>
        <v>0</v>
      </c>
      <c r="BX9" s="64"/>
      <c r="BY9" s="5">
        <f t="shared" si="6"/>
        <v>0</v>
      </c>
      <c r="BZ9" s="64"/>
      <c r="CA9" s="5">
        <f t="shared" si="7"/>
        <v>0</v>
      </c>
      <c r="CB9" s="64"/>
      <c r="CC9" s="5">
        <f t="shared" si="8"/>
        <v>0</v>
      </c>
      <c r="CD9" s="64"/>
      <c r="CE9" s="5">
        <f t="shared" si="9"/>
        <v>0</v>
      </c>
      <c r="CF9" s="5">
        <f t="shared" si="10"/>
        <v>0</v>
      </c>
    </row>
    <row r="10" spans="1:105" ht="15" customHeight="1" thickBot="1" x14ac:dyDescent="0.3">
      <c r="A10" s="15" t="s">
        <v>113</v>
      </c>
      <c r="B10" s="18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KENNEDY</v>
      </c>
      <c r="BF10" s="64"/>
      <c r="BG10" s="100">
        <f t="shared" si="0"/>
        <v>0</v>
      </c>
      <c r="BH10" s="150"/>
      <c r="BI10" s="5" t="str">
        <f t="shared" si="1"/>
        <v>Elected</v>
      </c>
      <c r="BJ10" s="5" t="str">
        <f t="shared" si="2"/>
        <v>Excluded</v>
      </c>
      <c r="BM10" s="3"/>
      <c r="BN10" s="5" t="str">
        <f t="shared" si="11"/>
        <v>Excluded</v>
      </c>
      <c r="BO10" s="5"/>
      <c r="BP10" s="7">
        <f t="shared" si="3"/>
        <v>0</v>
      </c>
      <c r="BQ10" s="66"/>
      <c r="BS10" s="9" t="str">
        <f>'Verification of Boxes'!J12</f>
        <v>FRENCH</v>
      </c>
      <c r="BT10" s="64"/>
      <c r="BU10" s="5">
        <f t="shared" si="4"/>
        <v>0</v>
      </c>
      <c r="BV10" s="64"/>
      <c r="BW10" s="5">
        <f t="shared" si="5"/>
        <v>0</v>
      </c>
      <c r="BX10" s="64"/>
      <c r="BY10" s="5">
        <f t="shared" si="6"/>
        <v>0</v>
      </c>
      <c r="BZ10" s="64"/>
      <c r="CA10" s="5">
        <f t="shared" si="7"/>
        <v>0</v>
      </c>
      <c r="CB10" s="64"/>
      <c r="CC10" s="5">
        <f t="shared" si="8"/>
        <v>0</v>
      </c>
      <c r="CD10" s="64"/>
      <c r="CE10" s="5">
        <f t="shared" si="9"/>
        <v>0</v>
      </c>
      <c r="CF10" s="5">
        <f t="shared" si="10"/>
        <v>0</v>
      </c>
    </row>
    <row r="11" spans="1:105" ht="15" customHeight="1" thickBot="1" x14ac:dyDescent="0.3">
      <c r="A11" s="29" t="str">
        <f>A57</f>
        <v>Elected</v>
      </c>
      <c r="B11" s="235">
        <f>'Stage 17'!B57</f>
        <v>1</v>
      </c>
      <c r="C11" s="30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>'Stage 3'!H11</f>
        <v>0</v>
      </c>
      <c r="I11" s="135">
        <f>'Stage 3'!I11</f>
        <v>1071</v>
      </c>
      <c r="J11" s="71">
        <f>'Stage 4'!J11</f>
        <v>0</v>
      </c>
      <c r="K11" s="135">
        <f>'Stage 4'!K11</f>
        <v>1071</v>
      </c>
      <c r="L11" s="71">
        <f>'Stage 5'!L11</f>
        <v>0</v>
      </c>
      <c r="M11" s="135">
        <f>'Stage 5'!M11</f>
        <v>1071</v>
      </c>
      <c r="N11" s="71">
        <f>'Stage 6'!N11</f>
        <v>0</v>
      </c>
      <c r="O11" s="135">
        <f>'Stage 6'!O11</f>
        <v>1071</v>
      </c>
      <c r="P11" s="71">
        <f>'Stage 7'!P11</f>
        <v>0</v>
      </c>
      <c r="Q11" s="135">
        <f>'Stage 7'!Q11</f>
        <v>1071</v>
      </c>
      <c r="R11" s="71">
        <f>'Stage 8'!R11</f>
        <v>0</v>
      </c>
      <c r="S11" s="135">
        <f>'Stage 8'!S11</f>
        <v>1071</v>
      </c>
      <c r="T11" s="71">
        <f>'Stage 9'!T11</f>
        <v>0</v>
      </c>
      <c r="U11" s="135">
        <f>'Stage 9'!U11</f>
        <v>1071</v>
      </c>
      <c r="V11" s="71">
        <f>'Stage 10'!V11</f>
        <v>0</v>
      </c>
      <c r="W11" s="135">
        <f>'Stage 10'!W11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5"/>
      <c r="BP11" s="7">
        <f t="shared" si="3"/>
        <v>0</v>
      </c>
      <c r="BQ11" s="66"/>
      <c r="BS11" s="9" t="str">
        <f>'Verification of Boxes'!J13</f>
        <v>GIVAN</v>
      </c>
      <c r="BT11" s="64"/>
      <c r="BU11" s="5">
        <f t="shared" si="4"/>
        <v>0</v>
      </c>
      <c r="BV11" s="64"/>
      <c r="BW11" s="5">
        <f t="shared" si="5"/>
        <v>0</v>
      </c>
      <c r="BX11" s="64"/>
      <c r="BY11" s="5">
        <f t="shared" si="6"/>
        <v>0</v>
      </c>
      <c r="BZ11" s="64"/>
      <c r="CA11" s="5">
        <f t="shared" si="7"/>
        <v>0</v>
      </c>
      <c r="CB11" s="64"/>
      <c r="CC11" s="5">
        <f t="shared" si="8"/>
        <v>0</v>
      </c>
      <c r="CD11" s="64"/>
      <c r="CE11" s="5">
        <f t="shared" si="9"/>
        <v>0</v>
      </c>
      <c r="CF11" s="5">
        <f t="shared" si="10"/>
        <v>0</v>
      </c>
    </row>
    <row r="12" spans="1:105" ht="15" customHeight="1" thickBot="1" x14ac:dyDescent="0.4">
      <c r="A12" s="20" t="str">
        <f t="shared" ref="A12:A30" si="12">A58</f>
        <v>Excluded</v>
      </c>
      <c r="B12" s="235">
        <f>'Stage 17'!B58</f>
        <v>0</v>
      </c>
      <c r="C12" s="31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>'Stage 3'!H12</f>
        <v>1</v>
      </c>
      <c r="I12" s="135">
        <f>'Stage 3'!I12</f>
        <v>494.42</v>
      </c>
      <c r="J12" s="71">
        <f>'Stage 4'!J12</f>
        <v>0.48</v>
      </c>
      <c r="K12" s="135">
        <f>'Stage 4'!K12</f>
        <v>494.90000000000003</v>
      </c>
      <c r="L12" s="71">
        <f>'Stage 5'!L12</f>
        <v>0.04</v>
      </c>
      <c r="M12" s="135">
        <f>'Stage 5'!M12</f>
        <v>494.94000000000005</v>
      </c>
      <c r="N12" s="71">
        <f>'Stage 6'!N12</f>
        <v>176.15</v>
      </c>
      <c r="O12" s="135">
        <f>'Stage 6'!O12</f>
        <v>671.09</v>
      </c>
      <c r="P12" s="71">
        <f>'Stage 7'!P12</f>
        <v>-671.09</v>
      </c>
      <c r="Q12" s="135">
        <f>'Stage 7'!Q12</f>
        <v>0</v>
      </c>
      <c r="R12" s="71">
        <f>'Stage 8'!R12</f>
        <v>0</v>
      </c>
      <c r="S12" s="135">
        <f>'Stage 8'!S12</f>
        <v>0</v>
      </c>
      <c r="T12" s="71">
        <f>'Stage 9'!T12</f>
        <v>0</v>
      </c>
      <c r="U12" s="135">
        <f>'Stage 9'!U12</f>
        <v>0</v>
      </c>
      <c r="V12" s="71">
        <f>'Stage 10'!V12</f>
        <v>0</v>
      </c>
      <c r="W12" s="135">
        <f>'Stage 10'!W12</f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MITCHELL</v>
      </c>
      <c r="BF12" s="64"/>
      <c r="BG12" s="100">
        <f t="shared" si="0"/>
        <v>0</v>
      </c>
      <c r="BH12" s="150"/>
      <c r="BI12" s="5">
        <f t="shared" si="1"/>
        <v>0</v>
      </c>
      <c r="BJ12" s="5" t="str">
        <f t="shared" si="2"/>
        <v>Excluded</v>
      </c>
      <c r="BM12" s="3"/>
      <c r="BN12" s="5" t="str">
        <f t="shared" si="11"/>
        <v>Elected</v>
      </c>
      <c r="BO12" s="5"/>
      <c r="BP12" s="7">
        <f t="shared" si="3"/>
        <v>0</v>
      </c>
      <c r="BQ12" s="66"/>
      <c r="BS12" s="9" t="str">
        <f>'Verification of Boxes'!J14</f>
        <v>GREHAN</v>
      </c>
      <c r="BT12" s="64"/>
      <c r="BU12" s="5">
        <f t="shared" si="4"/>
        <v>0</v>
      </c>
      <c r="BV12" s="64"/>
      <c r="BW12" s="5">
        <f t="shared" si="5"/>
        <v>0</v>
      </c>
      <c r="BX12" s="64"/>
      <c r="BY12" s="5">
        <f t="shared" si="6"/>
        <v>0</v>
      </c>
      <c r="BZ12" s="64"/>
      <c r="CA12" s="5">
        <f t="shared" si="7"/>
        <v>0</v>
      </c>
      <c r="CB12" s="64"/>
      <c r="CC12" s="5">
        <f t="shared" si="8"/>
        <v>0</v>
      </c>
      <c r="CD12" s="64"/>
      <c r="CE12" s="5">
        <f t="shared" si="9"/>
        <v>0</v>
      </c>
      <c r="CF12" s="5">
        <f t="shared" si="10"/>
        <v>0</v>
      </c>
    </row>
    <row r="13" spans="1:105" ht="15" customHeight="1" thickBot="1" x14ac:dyDescent="0.3">
      <c r="A13" s="20" t="str">
        <f t="shared" si="12"/>
        <v>Excluded</v>
      </c>
      <c r="B13" s="235">
        <f>'Stage 17'!B59</f>
        <v>0</v>
      </c>
      <c r="C13" s="31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>'Stage 3'!H13</f>
        <v>4</v>
      </c>
      <c r="I13" s="135">
        <f>'Stage 3'!I13</f>
        <v>476.42</v>
      </c>
      <c r="J13" s="71">
        <f>'Stage 4'!J13</f>
        <v>0.89999999999999991</v>
      </c>
      <c r="K13" s="135">
        <f>'Stage 4'!K13</f>
        <v>477.32</v>
      </c>
      <c r="L13" s="71">
        <f>'Stage 5'!L13</f>
        <v>0.02</v>
      </c>
      <c r="M13" s="135">
        <f>'Stage 5'!M13</f>
        <v>477.34</v>
      </c>
      <c r="N13" s="71">
        <f>'Stage 6'!N13</f>
        <v>-477.34</v>
      </c>
      <c r="O13" s="135">
        <f>'Stage 6'!O13</f>
        <v>0</v>
      </c>
      <c r="P13" s="71">
        <f>'Stage 7'!P13</f>
        <v>0</v>
      </c>
      <c r="Q13" s="135">
        <f>'Stage 7'!Q13</f>
        <v>0</v>
      </c>
      <c r="R13" s="71">
        <f>'Stage 8'!R13</f>
        <v>0</v>
      </c>
      <c r="S13" s="135">
        <f>'Stage 8'!S13</f>
        <v>0</v>
      </c>
      <c r="T13" s="71">
        <f>'Stage 9'!T13</f>
        <v>0</v>
      </c>
      <c r="U13" s="135">
        <f>'Stage 9'!U13</f>
        <v>0</v>
      </c>
      <c r="V13" s="71">
        <f>'Stage 10'!V13</f>
        <v>0</v>
      </c>
      <c r="W13" s="135">
        <f>'Stage 10'!W13</f>
        <v>0</v>
      </c>
      <c r="Z13" s="15" t="s">
        <v>115</v>
      </c>
      <c r="AA13" s="124" t="s">
        <v>168</v>
      </c>
      <c r="AB13" s="16"/>
      <c r="AC13" s="16" t="s">
        <v>169</v>
      </c>
      <c r="AD13" s="18"/>
      <c r="AE13" s="16" t="s">
        <v>170</v>
      </c>
      <c r="AF13" s="18" t="s">
        <v>171</v>
      </c>
      <c r="AG13" s="14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/>
      <c r="BE13" s="61" t="str">
        <f>'Verification of Boxes'!J18</f>
        <v>PALMER</v>
      </c>
      <c r="BF13" s="64"/>
      <c r="BG13" s="100">
        <f t="shared" si="0"/>
        <v>0</v>
      </c>
      <c r="BH13" s="150"/>
      <c r="BI13" s="5" t="str">
        <f t="shared" si="1"/>
        <v>Excluded</v>
      </c>
      <c r="BJ13" s="5" t="str">
        <f t="shared" si="2"/>
        <v>Excluded</v>
      </c>
      <c r="BM13" s="3"/>
      <c r="BN13" s="5" t="str">
        <f t="shared" si="11"/>
        <v>Elected</v>
      </c>
      <c r="BO13" s="5"/>
      <c r="BP13" s="7">
        <f t="shared" si="3"/>
        <v>0</v>
      </c>
      <c r="BQ13" s="66"/>
      <c r="BS13" s="9" t="str">
        <f>'Verification of Boxes'!J15</f>
        <v>KENNEDY</v>
      </c>
      <c r="BT13" s="182"/>
      <c r="BU13" s="5">
        <f t="shared" si="4"/>
        <v>0</v>
      </c>
      <c r="BV13" s="182"/>
      <c r="BW13" s="5">
        <f t="shared" si="5"/>
        <v>0</v>
      </c>
      <c r="BX13" s="182"/>
      <c r="BY13" s="5">
        <f t="shared" si="6"/>
        <v>0</v>
      </c>
      <c r="BZ13" s="182"/>
      <c r="CA13" s="5">
        <f t="shared" si="7"/>
        <v>0</v>
      </c>
      <c r="CB13" s="182"/>
      <c r="CC13" s="5">
        <f t="shared" si="8"/>
        <v>0</v>
      </c>
      <c r="CD13" s="182"/>
      <c r="CE13" s="5">
        <f t="shared" si="9"/>
        <v>0</v>
      </c>
      <c r="CF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'Stage 17'!B60</f>
        <v>3</v>
      </c>
      <c r="C14" s="31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>'Stage 3'!H14</f>
        <v>0</v>
      </c>
      <c r="I14" s="135">
        <f>'Stage 3'!I14</f>
        <v>1089.5999999999999</v>
      </c>
      <c r="J14" s="71">
        <f>'Stage 4'!J14</f>
        <v>0</v>
      </c>
      <c r="K14" s="135">
        <f>'Stage 4'!K14</f>
        <v>1089.5999999999999</v>
      </c>
      <c r="L14" s="71">
        <f>'Stage 5'!L14</f>
        <v>-18.599999999999909</v>
      </c>
      <c r="M14" s="135">
        <f>'Stage 5'!M14</f>
        <v>1071</v>
      </c>
      <c r="N14" s="71">
        <f>'Stage 6'!N14</f>
        <v>0</v>
      </c>
      <c r="O14" s="135">
        <f>'Stage 6'!O14</f>
        <v>1071</v>
      </c>
      <c r="P14" s="71">
        <f>'Stage 7'!P14</f>
        <v>0</v>
      </c>
      <c r="Q14" s="135">
        <f>'Stage 7'!Q14</f>
        <v>1071</v>
      </c>
      <c r="R14" s="71">
        <f>'Stage 8'!R14</f>
        <v>0</v>
      </c>
      <c r="S14" s="135">
        <f>'Stage 8'!S14</f>
        <v>1071</v>
      </c>
      <c r="T14" s="71">
        <f>'Stage 9'!T14</f>
        <v>0</v>
      </c>
      <c r="U14" s="135">
        <f>'Stage 9'!U14</f>
        <v>1071</v>
      </c>
      <c r="V14" s="71">
        <f>'Stage 10'!V14</f>
        <v>0</v>
      </c>
      <c r="W14" s="135">
        <f>'Stage 10'!W14</f>
        <v>0</v>
      </c>
      <c r="Z14" s="92" t="str">
        <f>'Verification of Boxes'!J10</f>
        <v>EWING</v>
      </c>
      <c r="AA14" s="93">
        <f>U57</f>
        <v>0</v>
      </c>
      <c r="AB14" s="88"/>
      <c r="AC14" s="99">
        <f t="shared" ref="AC14:AC33" si="13">IF(AA14&gt;0,AA14-AG$4,0)</f>
        <v>0</v>
      </c>
      <c r="AD14" s="123"/>
      <c r="AE14" s="88" t="str">
        <f>IF(Z14=0,0,IF(AA14&gt;=AG$4,"elected",IF(AA14=0,"excluded","continuing")))</f>
        <v>excluded</v>
      </c>
      <c r="AF14" s="88">
        <f t="shared" ref="AF14:AF33" si="14">IF(AE14="elected",AC14,0)</f>
        <v>0</v>
      </c>
      <c r="AG14" s="94">
        <f t="shared" ref="AG14:AG33" si="15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/>
      <c r="BE14" s="61" t="str">
        <f>'Verification of Boxes'!J19</f>
        <v>PORTER</v>
      </c>
      <c r="BF14" s="64"/>
      <c r="BG14" s="100">
        <f t="shared" si="0"/>
        <v>0</v>
      </c>
      <c r="BH14" s="150"/>
      <c r="BI14" s="5">
        <f t="shared" si="1"/>
        <v>0</v>
      </c>
      <c r="BJ14" s="5" t="str">
        <f t="shared" si="2"/>
        <v>Excluded</v>
      </c>
      <c r="BM14" s="3"/>
      <c r="BN14" s="5" t="str">
        <f t="shared" si="11"/>
        <v>Excluded</v>
      </c>
      <c r="BO14" s="5"/>
      <c r="BP14" s="7">
        <f t="shared" si="3"/>
        <v>0</v>
      </c>
      <c r="BQ14" s="66"/>
      <c r="BS14" s="9" t="str">
        <f>'Verification of Boxes'!J16</f>
        <v>MCEVOY</v>
      </c>
      <c r="BT14" s="64"/>
      <c r="BU14" s="5">
        <f t="shared" si="4"/>
        <v>0</v>
      </c>
      <c r="BV14" s="64"/>
      <c r="BW14" s="5">
        <f t="shared" si="5"/>
        <v>0</v>
      </c>
      <c r="BX14" s="64"/>
      <c r="BY14" s="5">
        <f t="shared" si="6"/>
        <v>0</v>
      </c>
      <c r="BZ14" s="64"/>
      <c r="CA14" s="5">
        <f t="shared" si="7"/>
        <v>0</v>
      </c>
      <c r="CB14" s="64"/>
      <c r="CC14" s="5">
        <f t="shared" si="8"/>
        <v>0</v>
      </c>
      <c r="CD14" s="64"/>
      <c r="CE14" s="5">
        <f t="shared" si="9"/>
        <v>0</v>
      </c>
      <c r="CF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'Stage 17'!B61</f>
        <v>2</v>
      </c>
      <c r="C15" s="31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>'Stage 3'!H15</f>
        <v>0</v>
      </c>
      <c r="I15" s="135">
        <f>'Stage 3'!I15</f>
        <v>1111</v>
      </c>
      <c r="J15" s="71">
        <f>'Stage 4'!J15</f>
        <v>-40</v>
      </c>
      <c r="K15" s="135">
        <f>'Stage 4'!K15</f>
        <v>1071</v>
      </c>
      <c r="L15" s="71">
        <f>'Stage 5'!L15</f>
        <v>0</v>
      </c>
      <c r="M15" s="135">
        <f>'Stage 5'!M15</f>
        <v>1071</v>
      </c>
      <c r="N15" s="71">
        <f>'Stage 6'!N15</f>
        <v>0</v>
      </c>
      <c r="O15" s="135">
        <f>'Stage 6'!O15</f>
        <v>1071</v>
      </c>
      <c r="P15" s="71">
        <f>'Stage 7'!P15</f>
        <v>0</v>
      </c>
      <c r="Q15" s="135">
        <f>'Stage 7'!Q15</f>
        <v>1071</v>
      </c>
      <c r="R15" s="71">
        <f>'Stage 8'!R15</f>
        <v>0</v>
      </c>
      <c r="S15" s="135">
        <f>'Stage 8'!S15</f>
        <v>1071</v>
      </c>
      <c r="T15" s="71">
        <f>'Stage 9'!T15</f>
        <v>0</v>
      </c>
      <c r="U15" s="135">
        <f>'Stage 9'!U15</f>
        <v>1071</v>
      </c>
      <c r="V15" s="71">
        <f>'Stage 10'!V15</f>
        <v>0</v>
      </c>
      <c r="W15" s="135">
        <f>'Stage 10'!W15</f>
        <v>0</v>
      </c>
      <c r="Z15" s="95" t="str">
        <f>'Verification of Boxes'!J11</f>
        <v>FLYNN</v>
      </c>
      <c r="AA15" s="37">
        <f t="shared" ref="AA15:AA33" si="16">U58</f>
        <v>0</v>
      </c>
      <c r="AB15" s="5"/>
      <c r="AC15" s="100">
        <f t="shared" si="13"/>
        <v>0</v>
      </c>
      <c r="AD15" s="110"/>
      <c r="AE15" s="5" t="str">
        <f t="shared" ref="AE15:AE33" si="17">IF(Z15=0,0,IF(AA15&gt;=AG$4,"elected",IF(AA15=0,"excluded","continuing")))</f>
        <v>excluded</v>
      </c>
      <c r="AF15" s="5">
        <f t="shared" si="14"/>
        <v>0</v>
      </c>
      <c r="AG15" s="96">
        <f t="shared" si="15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5"/>
      <c r="BP15" s="7">
        <f t="shared" si="3"/>
        <v>0</v>
      </c>
      <c r="BQ15" s="66"/>
      <c r="BS15" s="9" t="str">
        <f>'Verification of Boxes'!J17</f>
        <v>MITCHELL</v>
      </c>
      <c r="BT15" s="64"/>
      <c r="BU15" s="5">
        <f t="shared" si="4"/>
        <v>0</v>
      </c>
      <c r="BV15" s="64"/>
      <c r="BW15" s="5">
        <f t="shared" si="5"/>
        <v>0</v>
      </c>
      <c r="BX15" s="64"/>
      <c r="BY15" s="5">
        <f t="shared" si="6"/>
        <v>0</v>
      </c>
      <c r="BZ15" s="64"/>
      <c r="CA15" s="5">
        <f t="shared" si="7"/>
        <v>0</v>
      </c>
      <c r="CB15" s="64"/>
      <c r="CC15" s="5">
        <f t="shared" si="8"/>
        <v>0</v>
      </c>
      <c r="CD15" s="64"/>
      <c r="CE15" s="5">
        <f t="shared" si="9"/>
        <v>0</v>
      </c>
      <c r="CF15" s="5">
        <f t="shared" si="10"/>
        <v>0</v>
      </c>
    </row>
    <row r="16" spans="1:105" ht="15" customHeight="1" thickBot="1" x14ac:dyDescent="0.3">
      <c r="A16" s="20" t="str">
        <f t="shared" si="12"/>
        <v>Elected</v>
      </c>
      <c r="B16" s="235">
        <f>'Stage 17'!B62</f>
        <v>4</v>
      </c>
      <c r="C16" s="31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>'Stage 3'!H16</f>
        <v>3.06</v>
      </c>
      <c r="I16" s="135">
        <f>'Stage 3'!I16</f>
        <v>677.3</v>
      </c>
      <c r="J16" s="71">
        <f>'Stage 4'!J16</f>
        <v>30.029999999999998</v>
      </c>
      <c r="K16" s="135">
        <f>'Stage 4'!K16</f>
        <v>707.32999999999993</v>
      </c>
      <c r="L16" s="71">
        <f>'Stage 5'!L16</f>
        <v>0.22</v>
      </c>
      <c r="M16" s="135">
        <f>'Stage 5'!M16</f>
        <v>707.55</v>
      </c>
      <c r="N16" s="71">
        <f>'Stage 6'!N16</f>
        <v>241.72</v>
      </c>
      <c r="O16" s="135">
        <f>'Stage 6'!O16</f>
        <v>949.27</v>
      </c>
      <c r="P16" s="71">
        <f>'Stage 7'!P16</f>
        <v>375</v>
      </c>
      <c r="Q16" s="135">
        <f>'Stage 7'!Q16</f>
        <v>1324.27</v>
      </c>
      <c r="R16" s="71">
        <f>'Stage 8'!R16</f>
        <v>-253.26999999999998</v>
      </c>
      <c r="S16" s="135">
        <f>'Stage 8'!S16</f>
        <v>1071</v>
      </c>
      <c r="T16" s="71">
        <f>'Stage 9'!T16</f>
        <v>0</v>
      </c>
      <c r="U16" s="135">
        <f>'Stage 9'!U16</f>
        <v>1071</v>
      </c>
      <c r="V16" s="71">
        <f>'Stage 10'!V16</f>
        <v>0</v>
      </c>
      <c r="W16" s="135">
        <f>'Stage 10'!W16</f>
        <v>0</v>
      </c>
      <c r="Z16" s="95" t="str">
        <f>'Verification of Boxes'!J12</f>
        <v>FRENCH</v>
      </c>
      <c r="AA16" s="37">
        <f t="shared" si="16"/>
        <v>0</v>
      </c>
      <c r="AB16" s="5"/>
      <c r="AC16" s="100">
        <f t="shared" si="13"/>
        <v>0</v>
      </c>
      <c r="AD16" s="110"/>
      <c r="AE16" s="5" t="str">
        <f t="shared" si="17"/>
        <v>excluded</v>
      </c>
      <c r="AF16" s="5">
        <f t="shared" si="14"/>
        <v>0</v>
      </c>
      <c r="AG16" s="96">
        <f t="shared" si="15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 t="str">
        <f t="shared" si="11"/>
        <v>Excluded</v>
      </c>
      <c r="BO16" s="5"/>
      <c r="BP16" s="7">
        <f t="shared" si="3"/>
        <v>0</v>
      </c>
      <c r="BQ16" s="66"/>
      <c r="BS16" s="9" t="str">
        <f>'Verification of Boxes'!J18</f>
        <v>PALMER</v>
      </c>
      <c r="BT16" s="64"/>
      <c r="BU16" s="5">
        <f t="shared" si="4"/>
        <v>0</v>
      </c>
      <c r="BV16" s="64"/>
      <c r="BW16" s="5">
        <f t="shared" si="5"/>
        <v>0</v>
      </c>
      <c r="BX16" s="64"/>
      <c r="BY16" s="5">
        <f t="shared" si="6"/>
        <v>0</v>
      </c>
      <c r="BZ16" s="64"/>
      <c r="CA16" s="5">
        <f t="shared" si="7"/>
        <v>0</v>
      </c>
      <c r="CB16" s="64"/>
      <c r="CC16" s="5">
        <f t="shared" si="8"/>
        <v>0</v>
      </c>
      <c r="CD16" s="64"/>
      <c r="CE16" s="5">
        <f t="shared" si="9"/>
        <v>0</v>
      </c>
      <c r="CF16" s="5">
        <f t="shared" si="10"/>
        <v>0</v>
      </c>
    </row>
    <row r="17" spans="1:84" ht="15" customHeight="1" thickBot="1" x14ac:dyDescent="0.3">
      <c r="A17" s="20" t="str">
        <f t="shared" si="12"/>
        <v>Excluded</v>
      </c>
      <c r="B17" s="235">
        <f>'Stage 17'!B63</f>
        <v>0</v>
      </c>
      <c r="C17" s="31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>'Stage 3'!H17</f>
        <v>-388.44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>'Stage 6'!N17</f>
        <v>0</v>
      </c>
      <c r="O17" s="135">
        <f>'Stage 6'!O17</f>
        <v>0</v>
      </c>
      <c r="P17" s="71">
        <f>'Stage 7'!P17</f>
        <v>0</v>
      </c>
      <c r="Q17" s="135">
        <f>'Stage 7'!Q17</f>
        <v>0</v>
      </c>
      <c r="R17" s="71">
        <f>'Stage 8'!R17</f>
        <v>0</v>
      </c>
      <c r="S17" s="135">
        <f>'Stage 8'!S17</f>
        <v>0</v>
      </c>
      <c r="T17" s="71">
        <f>'Stage 9'!T17</f>
        <v>0</v>
      </c>
      <c r="U17" s="135">
        <f>'Stage 9'!U17</f>
        <v>0</v>
      </c>
      <c r="V17" s="71">
        <f>'Stage 10'!V17</f>
        <v>0</v>
      </c>
      <c r="W17" s="135">
        <f>'Stage 10'!W17</f>
        <v>0</v>
      </c>
      <c r="Z17" s="95" t="str">
        <f>'Verification of Boxes'!J13</f>
        <v>GIVAN</v>
      </c>
      <c r="AA17" s="37">
        <f t="shared" si="16"/>
        <v>0</v>
      </c>
      <c r="AB17" s="5"/>
      <c r="AC17" s="100">
        <f t="shared" si="13"/>
        <v>0</v>
      </c>
      <c r="AD17" s="110"/>
      <c r="AE17" s="5" t="str">
        <f t="shared" si="17"/>
        <v>excluded</v>
      </c>
      <c r="AF17" s="5">
        <f t="shared" si="14"/>
        <v>0</v>
      </c>
      <c r="AG17" s="96">
        <f t="shared" si="15"/>
        <v>0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5"/>
      <c r="BP17" s="7">
        <f t="shared" si="3"/>
        <v>0</v>
      </c>
      <c r="BQ17" s="66"/>
      <c r="BS17" s="9" t="str">
        <f>'Verification of Boxes'!J19</f>
        <v>PORTER</v>
      </c>
      <c r="BT17" s="64"/>
      <c r="BU17" s="5">
        <f t="shared" si="4"/>
        <v>0</v>
      </c>
      <c r="BV17" s="64"/>
      <c r="BW17" s="5">
        <f t="shared" si="5"/>
        <v>0</v>
      </c>
      <c r="BX17" s="64"/>
      <c r="BY17" s="5">
        <f t="shared" si="6"/>
        <v>0</v>
      </c>
      <c r="BZ17" s="64"/>
      <c r="CA17" s="5">
        <f t="shared" si="7"/>
        <v>0</v>
      </c>
      <c r="CB17" s="64"/>
      <c r="CC17" s="5">
        <f t="shared" si="8"/>
        <v>0</v>
      </c>
      <c r="CD17" s="64"/>
      <c r="CE17" s="5">
        <f t="shared" si="9"/>
        <v>0</v>
      </c>
      <c r="CF17" s="5">
        <f t="shared" si="10"/>
        <v>0</v>
      </c>
    </row>
    <row r="18" spans="1:84" ht="15" customHeight="1" thickBot="1" x14ac:dyDescent="0.3">
      <c r="A18" s="20">
        <f t="shared" si="12"/>
        <v>0</v>
      </c>
      <c r="B18" s="235">
        <f>'Stage 17'!B64</f>
        <v>5</v>
      </c>
      <c r="C18" s="31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>'Stage 3'!H18</f>
        <v>91.42</v>
      </c>
      <c r="I18" s="135">
        <f>'Stage 3'!I18</f>
        <v>962.86</v>
      </c>
      <c r="J18" s="71">
        <f>'Stage 4'!J18</f>
        <v>0.72</v>
      </c>
      <c r="K18" s="135">
        <f>'Stage 4'!K18</f>
        <v>963.58</v>
      </c>
      <c r="L18" s="71">
        <f>'Stage 5'!L18</f>
        <v>1.54</v>
      </c>
      <c r="M18" s="135">
        <f>'Stage 5'!M18</f>
        <v>965.12</v>
      </c>
      <c r="N18" s="71">
        <f>'Stage 6'!N18</f>
        <v>6</v>
      </c>
      <c r="O18" s="135">
        <f>'Stage 6'!O18</f>
        <v>971.12</v>
      </c>
      <c r="P18" s="71">
        <f>'Stage 7'!P18</f>
        <v>36.170000000000009</v>
      </c>
      <c r="Q18" s="135">
        <f>'Stage 7'!Q18</f>
        <v>1007.29</v>
      </c>
      <c r="R18" s="71">
        <f>'Stage 8'!R18</f>
        <v>58</v>
      </c>
      <c r="S18" s="135">
        <f>'Stage 8'!S18</f>
        <v>1065.29</v>
      </c>
      <c r="T18" s="71">
        <f>'Stage 9'!T18</f>
        <v>0</v>
      </c>
      <c r="U18" s="135">
        <f>'Stage 9'!U18</f>
        <v>1065.29</v>
      </c>
      <c r="V18" s="71">
        <f>'Stage 10'!V18</f>
        <v>0</v>
      </c>
      <c r="W18" s="135">
        <f>'Stage 10'!W18</f>
        <v>0</v>
      </c>
      <c r="Z18" s="95" t="str">
        <f>'Verification of Boxes'!J14</f>
        <v>GREHAN</v>
      </c>
      <c r="AA18" s="37">
        <f t="shared" si="16"/>
        <v>0</v>
      </c>
      <c r="AB18" s="5"/>
      <c r="AC18" s="100">
        <f t="shared" si="13"/>
        <v>0</v>
      </c>
      <c r="AD18" s="110"/>
      <c r="AE18" s="5" t="str">
        <f t="shared" si="17"/>
        <v>excluded</v>
      </c>
      <c r="AF18" s="5">
        <f t="shared" si="14"/>
        <v>0</v>
      </c>
      <c r="AG18" s="96">
        <f t="shared" si="15"/>
        <v>0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5"/>
      <c r="BP18" s="7">
        <f t="shared" si="3"/>
        <v>0</v>
      </c>
      <c r="BQ18" s="66"/>
      <c r="BS18" s="9">
        <f>'Verification of Boxes'!J20</f>
        <v>0</v>
      </c>
      <c r="BT18" s="64"/>
      <c r="BU18" s="5">
        <f t="shared" si="4"/>
        <v>0</v>
      </c>
      <c r="BV18" s="64"/>
      <c r="BW18" s="5">
        <f t="shared" si="5"/>
        <v>0</v>
      </c>
      <c r="BX18" s="64"/>
      <c r="BY18" s="5">
        <f t="shared" si="6"/>
        <v>0</v>
      </c>
      <c r="BZ18" s="64"/>
      <c r="CA18" s="5">
        <f t="shared" si="7"/>
        <v>0</v>
      </c>
      <c r="CB18" s="64"/>
      <c r="CC18" s="5">
        <f t="shared" si="8"/>
        <v>0</v>
      </c>
      <c r="CD18" s="64"/>
      <c r="CE18" s="5">
        <f t="shared" si="9"/>
        <v>0</v>
      </c>
      <c r="CF18" s="5">
        <f t="shared" si="10"/>
        <v>0</v>
      </c>
    </row>
    <row r="19" spans="1:84" ht="15" customHeight="1" thickBot="1" x14ac:dyDescent="0.3">
      <c r="A19" s="20" t="str">
        <f t="shared" si="12"/>
        <v>Excluded</v>
      </c>
      <c r="B19" s="235">
        <f>'Stage 17'!B65</f>
        <v>0</v>
      </c>
      <c r="C19" s="31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>'Stage 3'!H19</f>
        <v>64.48</v>
      </c>
      <c r="I19" s="135">
        <f>'Stage 3'!I19</f>
        <v>692.9</v>
      </c>
      <c r="J19" s="71">
        <f>'Stage 4'!J19</f>
        <v>0.69</v>
      </c>
      <c r="K19" s="135">
        <f>'Stage 4'!K19</f>
        <v>693.59</v>
      </c>
      <c r="L19" s="71">
        <f>'Stage 5'!L19</f>
        <v>0.68</v>
      </c>
      <c r="M19" s="135">
        <f>'Stage 5'!M19</f>
        <v>694.27</v>
      </c>
      <c r="N19" s="71">
        <f>'Stage 6'!N19</f>
        <v>12.15</v>
      </c>
      <c r="O19" s="135">
        <f>'Stage 6'!O19</f>
        <v>706.42</v>
      </c>
      <c r="P19" s="71">
        <f>'Stage 7'!P19</f>
        <v>21.06</v>
      </c>
      <c r="Q19" s="135">
        <f>'Stage 7'!Q19</f>
        <v>727.4799999999999</v>
      </c>
      <c r="R19" s="71">
        <f>'Stage 8'!R19</f>
        <v>18</v>
      </c>
      <c r="S19" s="135">
        <f>'Stage 8'!S19</f>
        <v>745.4799999999999</v>
      </c>
      <c r="T19" s="71">
        <f>'Stage 9'!T19</f>
        <v>-745.4799999999999</v>
      </c>
      <c r="U19" s="135">
        <f>'Stage 9'!U19</f>
        <v>0</v>
      </c>
      <c r="V19" s="71">
        <f>'Stage 10'!V19</f>
        <v>0</v>
      </c>
      <c r="W19" s="135">
        <f>'Stage 10'!W19</f>
        <v>0</v>
      </c>
      <c r="Z19" s="95" t="str">
        <f>'Verification of Boxes'!J15</f>
        <v>KENNEDY</v>
      </c>
      <c r="AA19" s="37">
        <f t="shared" si="16"/>
        <v>0</v>
      </c>
      <c r="AB19" s="5"/>
      <c r="AC19" s="100">
        <f t="shared" si="13"/>
        <v>0</v>
      </c>
      <c r="AD19" s="110"/>
      <c r="AE19" s="5" t="str">
        <f t="shared" si="17"/>
        <v>excluded</v>
      </c>
      <c r="AF19" s="5">
        <f t="shared" si="14"/>
        <v>0</v>
      </c>
      <c r="AG19" s="96">
        <f t="shared" si="15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5"/>
      <c r="BP19" s="7">
        <f t="shared" si="3"/>
        <v>0</v>
      </c>
      <c r="BQ19" s="66"/>
      <c r="BS19" s="9">
        <f>'Verification of Boxes'!J21</f>
        <v>0</v>
      </c>
      <c r="BT19" s="64"/>
      <c r="BU19" s="5">
        <f t="shared" si="4"/>
        <v>0</v>
      </c>
      <c r="BV19" s="64"/>
      <c r="BW19" s="5">
        <f t="shared" si="5"/>
        <v>0</v>
      </c>
      <c r="BX19" s="64"/>
      <c r="BY19" s="5">
        <f t="shared" si="6"/>
        <v>0</v>
      </c>
      <c r="BZ19" s="64"/>
      <c r="CA19" s="5">
        <f t="shared" si="7"/>
        <v>0</v>
      </c>
      <c r="CB19" s="64"/>
      <c r="CC19" s="5">
        <f t="shared" si="8"/>
        <v>0</v>
      </c>
      <c r="CD19" s="64"/>
      <c r="CE19" s="5">
        <f t="shared" si="9"/>
        <v>0</v>
      </c>
      <c r="CF19" s="5">
        <f t="shared" si="10"/>
        <v>0</v>
      </c>
    </row>
    <row r="20" spans="1:84" ht="15" customHeight="1" thickBot="1" x14ac:dyDescent="0.3">
      <c r="A20" s="20">
        <f t="shared" si="12"/>
        <v>0</v>
      </c>
      <c r="B20" s="235">
        <f>'Stage 17'!B66</f>
        <v>6</v>
      </c>
      <c r="C20" s="31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>'Stage 3'!H20</f>
        <v>204.42</v>
      </c>
      <c r="I20" s="135">
        <f>'Stage 3'!I20</f>
        <v>900.42</v>
      </c>
      <c r="J20" s="71">
        <f>'Stage 4'!J20</f>
        <v>0.39</v>
      </c>
      <c r="K20" s="135">
        <f>'Stage 4'!K20</f>
        <v>900.81</v>
      </c>
      <c r="L20" s="71">
        <f>'Stage 5'!L20</f>
        <v>14.34</v>
      </c>
      <c r="M20" s="135">
        <f>'Stage 5'!M20</f>
        <v>915.15</v>
      </c>
      <c r="N20" s="71">
        <f>'Stage 6'!N20</f>
        <v>6</v>
      </c>
      <c r="O20" s="135">
        <f>'Stage 6'!O20</f>
        <v>921.15</v>
      </c>
      <c r="P20" s="71">
        <f>'Stage 7'!P20</f>
        <v>10.08</v>
      </c>
      <c r="Q20" s="135">
        <f>'Stage 7'!Q20</f>
        <v>931.23</v>
      </c>
      <c r="R20" s="71">
        <f>'Stage 8'!R20</f>
        <v>6</v>
      </c>
      <c r="S20" s="135">
        <f>'Stage 8'!S20</f>
        <v>937.23</v>
      </c>
      <c r="T20" s="71">
        <f>'Stage 9'!T20</f>
        <v>0</v>
      </c>
      <c r="U20" s="135">
        <f>'Stage 9'!U20</f>
        <v>937.23</v>
      </c>
      <c r="V20" s="71">
        <f>'Stage 10'!V20</f>
        <v>0</v>
      </c>
      <c r="W20" s="135">
        <f>'Stage 10'!W20</f>
        <v>0</v>
      </c>
      <c r="Z20" s="95" t="str">
        <f>'Verification of Boxes'!J16</f>
        <v>MCEVOY</v>
      </c>
      <c r="AA20" s="37">
        <f t="shared" si="16"/>
        <v>0</v>
      </c>
      <c r="AB20" s="5"/>
      <c r="AC20" s="100">
        <f t="shared" si="13"/>
        <v>0</v>
      </c>
      <c r="AD20" s="110"/>
      <c r="AE20" s="5" t="str">
        <f t="shared" si="17"/>
        <v>excluded</v>
      </c>
      <c r="AF20" s="5">
        <f t="shared" si="14"/>
        <v>0</v>
      </c>
      <c r="AG20" s="96">
        <f t="shared" si="15"/>
        <v>0</v>
      </c>
      <c r="AJ20" s="339" t="s">
        <v>184</v>
      </c>
      <c r="AK20" s="340"/>
      <c r="AL20" s="142">
        <f>AL46</f>
        <v>1000000</v>
      </c>
      <c r="AM20" s="118"/>
      <c r="AN20" s="142">
        <f>AL20+AG2</f>
        <v>1000000</v>
      </c>
      <c r="AO20" s="334">
        <f>IF(AN20&gt;AG4,0,IF(AN20&lt;AL21,"Exclude lowest candidate",0))</f>
        <v>0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5"/>
      <c r="BP20" s="7">
        <f t="shared" si="3"/>
        <v>0</v>
      </c>
      <c r="BQ20" s="66"/>
      <c r="BS20" s="9">
        <f>'Verification of Boxes'!J22</f>
        <v>0</v>
      </c>
      <c r="BT20" s="64"/>
      <c r="BU20" s="5">
        <f t="shared" si="4"/>
        <v>0</v>
      </c>
      <c r="BV20" s="64"/>
      <c r="BW20" s="5">
        <f t="shared" si="5"/>
        <v>0</v>
      </c>
      <c r="BX20" s="64"/>
      <c r="BY20" s="5">
        <f t="shared" si="6"/>
        <v>0</v>
      </c>
      <c r="BZ20" s="64"/>
      <c r="CA20" s="5">
        <f t="shared" si="7"/>
        <v>0</v>
      </c>
      <c r="CB20" s="64"/>
      <c r="CC20" s="5">
        <f t="shared" si="8"/>
        <v>0</v>
      </c>
      <c r="CD20" s="64"/>
      <c r="CE20" s="5">
        <f t="shared" si="9"/>
        <v>0</v>
      </c>
      <c r="CF20" s="5">
        <f t="shared" si="10"/>
        <v>0</v>
      </c>
    </row>
    <row r="21" spans="1:84" ht="15" customHeight="1" thickBot="1" x14ac:dyDescent="0.3">
      <c r="A21" s="20">
        <f t="shared" si="12"/>
        <v>0</v>
      </c>
      <c r="B21" s="235">
        <f>'Stage 17'!B67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>'Stage 6'!N21</f>
        <v>0</v>
      </c>
      <c r="O21" s="135">
        <f>'Stage 6'!O21</f>
        <v>0</v>
      </c>
      <c r="P21" s="71">
        <f>'Stage 7'!P21</f>
        <v>0</v>
      </c>
      <c r="Q21" s="135">
        <f>'Stage 7'!Q21</f>
        <v>0</v>
      </c>
      <c r="R21" s="71">
        <f>'Stage 8'!R21</f>
        <v>0</v>
      </c>
      <c r="S21" s="135">
        <f>'Stage 8'!S21</f>
        <v>0</v>
      </c>
      <c r="T21" s="71">
        <f>'Stage 9'!T21</f>
        <v>0</v>
      </c>
      <c r="U21" s="135">
        <f>'Stage 9'!U21</f>
        <v>0</v>
      </c>
      <c r="V21" s="71">
        <f>'Stage 10'!V21</f>
        <v>0</v>
      </c>
      <c r="W21" s="135">
        <f>'Stage 10'!W21</f>
        <v>0</v>
      </c>
      <c r="Z21" s="95" t="str">
        <f>'Verification of Boxes'!J17</f>
        <v>MITCHELL</v>
      </c>
      <c r="AA21" s="37">
        <f t="shared" si="16"/>
        <v>0</v>
      </c>
      <c r="AB21" s="5"/>
      <c r="AC21" s="100">
        <f t="shared" si="13"/>
        <v>0</v>
      </c>
      <c r="AD21" s="110"/>
      <c r="AE21" s="5" t="str">
        <f t="shared" si="17"/>
        <v>excluded</v>
      </c>
      <c r="AF21" s="5">
        <f t="shared" si="14"/>
        <v>0</v>
      </c>
      <c r="AG21" s="96">
        <f t="shared" si="15"/>
        <v>0</v>
      </c>
      <c r="AJ21" s="341" t="s">
        <v>185</v>
      </c>
      <c r="AK21" s="293"/>
      <c r="AL21" s="37">
        <f>IF(AL20=1000000,0,AN46)</f>
        <v>0</v>
      </c>
      <c r="AM21" s="5">
        <f>AL21-AL20</f>
        <v>-1000000</v>
      </c>
      <c r="AN21" s="5">
        <f>IF(AL21=1000000,0,IF(AN20=0,0,AN20+AL21))</f>
        <v>1000000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5"/>
      <c r="BP21" s="7">
        <f t="shared" si="3"/>
        <v>0</v>
      </c>
      <c r="BQ21" s="66"/>
      <c r="BS21" s="9">
        <f>'Verification of Boxes'!J23</f>
        <v>0</v>
      </c>
      <c r="BT21" s="64"/>
      <c r="BU21" s="5">
        <f t="shared" si="4"/>
        <v>0</v>
      </c>
      <c r="BV21" s="64"/>
      <c r="BW21" s="5">
        <f t="shared" si="5"/>
        <v>0</v>
      </c>
      <c r="BX21" s="64"/>
      <c r="BY21" s="5">
        <f t="shared" si="6"/>
        <v>0</v>
      </c>
      <c r="BZ21" s="64"/>
      <c r="CA21" s="5">
        <f t="shared" si="7"/>
        <v>0</v>
      </c>
      <c r="CB21" s="64"/>
      <c r="CC21" s="5">
        <f t="shared" si="8"/>
        <v>0</v>
      </c>
      <c r="CD21" s="64"/>
      <c r="CE21" s="5">
        <f t="shared" si="9"/>
        <v>0</v>
      </c>
      <c r="CF21" s="5">
        <f t="shared" si="10"/>
        <v>0</v>
      </c>
    </row>
    <row r="22" spans="1:84" ht="15" customHeight="1" thickBot="1" x14ac:dyDescent="0.3">
      <c r="A22" s="20">
        <f t="shared" si="12"/>
        <v>0</v>
      </c>
      <c r="B22" s="235">
        <f>'Stage 17'!B68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>'Stage 6'!N22</f>
        <v>0</v>
      </c>
      <c r="O22" s="135">
        <f>'Stage 6'!O22</f>
        <v>0</v>
      </c>
      <c r="P22" s="71">
        <f>'Stage 7'!P22</f>
        <v>0</v>
      </c>
      <c r="Q22" s="135">
        <f>'Stage 7'!Q22</f>
        <v>0</v>
      </c>
      <c r="R22" s="71">
        <f>'Stage 8'!R22</f>
        <v>0</v>
      </c>
      <c r="S22" s="135">
        <f>'Stage 8'!S22</f>
        <v>0</v>
      </c>
      <c r="T22" s="71">
        <f>'Stage 9'!T22</f>
        <v>0</v>
      </c>
      <c r="U22" s="135">
        <f>'Stage 9'!U22</f>
        <v>0</v>
      </c>
      <c r="V22" s="71">
        <f>'Stage 10'!V22</f>
        <v>0</v>
      </c>
      <c r="W22" s="135">
        <f>'Stage 10'!W22</f>
        <v>0</v>
      </c>
      <c r="Z22" s="95" t="str">
        <f>'Verification of Boxes'!J18</f>
        <v>PALMER</v>
      </c>
      <c r="AA22" s="37">
        <f t="shared" si="16"/>
        <v>0</v>
      </c>
      <c r="AB22" s="5"/>
      <c r="AC22" s="100">
        <f t="shared" si="13"/>
        <v>0</v>
      </c>
      <c r="AD22" s="110"/>
      <c r="AE22" s="5" t="str">
        <f t="shared" si="17"/>
        <v>excluded</v>
      </c>
      <c r="AF22" s="5">
        <f t="shared" si="14"/>
        <v>0</v>
      </c>
      <c r="AG22" s="96">
        <f t="shared" si="15"/>
        <v>0</v>
      </c>
      <c r="AJ22" s="341" t="s">
        <v>185</v>
      </c>
      <c r="AK22" s="293"/>
      <c r="AL22" s="37">
        <f>IF(AL21=1000000,0,AP46)</f>
        <v>3000000</v>
      </c>
      <c r="AM22" s="5">
        <f>IF(AL22=1000000,0,IF(AM21=0,0,AL22-AL21))</f>
        <v>3000000</v>
      </c>
      <c r="AN22" s="5">
        <f>IF(AL22=1000000,0,IF(AN21=0,0,AN21+AL22))</f>
        <v>4000000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5"/>
      <c r="BP22" s="7">
        <f t="shared" si="3"/>
        <v>0</v>
      </c>
      <c r="BQ22" s="66"/>
      <c r="BS22" s="9">
        <f>'Verification of Boxes'!J24</f>
        <v>0</v>
      </c>
      <c r="BT22" s="64"/>
      <c r="BU22" s="5">
        <f t="shared" si="4"/>
        <v>0</v>
      </c>
      <c r="BV22" s="64"/>
      <c r="BW22" s="5">
        <f t="shared" si="5"/>
        <v>0</v>
      </c>
      <c r="BX22" s="64"/>
      <c r="BY22" s="5">
        <f t="shared" si="6"/>
        <v>0</v>
      </c>
      <c r="BZ22" s="64"/>
      <c r="CA22" s="5">
        <f t="shared" si="7"/>
        <v>0</v>
      </c>
      <c r="CB22" s="64"/>
      <c r="CC22" s="5">
        <f t="shared" si="8"/>
        <v>0</v>
      </c>
      <c r="CD22" s="64"/>
      <c r="CE22" s="5">
        <f t="shared" si="9"/>
        <v>0</v>
      </c>
      <c r="CF22" s="5">
        <f t="shared" si="10"/>
        <v>0</v>
      </c>
    </row>
    <row r="23" spans="1:84" ht="15" customHeight="1" thickBot="1" x14ac:dyDescent="0.35">
      <c r="A23" s="20">
        <f t="shared" si="12"/>
        <v>0</v>
      </c>
      <c r="B23" s="235">
        <f>'Stage 17'!B69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>'Stage 6'!N23</f>
        <v>0</v>
      </c>
      <c r="O23" s="135">
        <f>'Stage 6'!O23</f>
        <v>0</v>
      </c>
      <c r="P23" s="71">
        <f>'Stage 7'!P23</f>
        <v>0</v>
      </c>
      <c r="Q23" s="135">
        <f>'Stage 7'!Q23</f>
        <v>0</v>
      </c>
      <c r="R23" s="71">
        <f>'Stage 8'!R23</f>
        <v>0</v>
      </c>
      <c r="S23" s="135">
        <f>'Stage 8'!S23</f>
        <v>0</v>
      </c>
      <c r="T23" s="71">
        <f>'Stage 9'!T23</f>
        <v>0</v>
      </c>
      <c r="U23" s="135">
        <f>'Stage 9'!U23</f>
        <v>0</v>
      </c>
      <c r="V23" s="71">
        <f>'Stage 10'!V23</f>
        <v>0</v>
      </c>
      <c r="W23" s="135">
        <f>'Stage 10'!W23</f>
        <v>0</v>
      </c>
      <c r="Z23" s="95" t="str">
        <f>'Verification of Boxes'!J19</f>
        <v>PORTER</v>
      </c>
      <c r="AA23" s="37">
        <f t="shared" si="16"/>
        <v>0</v>
      </c>
      <c r="AB23" s="5"/>
      <c r="AC23" s="100">
        <f t="shared" si="13"/>
        <v>0</v>
      </c>
      <c r="AD23" s="110"/>
      <c r="AE23" s="5" t="str">
        <f t="shared" si="17"/>
        <v>excluded</v>
      </c>
      <c r="AF23" s="5">
        <f t="shared" si="14"/>
        <v>0</v>
      </c>
      <c r="AG23" s="96">
        <f t="shared" si="15"/>
        <v>0</v>
      </c>
      <c r="AJ23" s="341" t="s">
        <v>185</v>
      </c>
      <c r="AK23" s="293"/>
      <c r="AL23" s="37">
        <f>IF(AL22=1000000,0,AR46)</f>
        <v>4000000</v>
      </c>
      <c r="AM23" s="5">
        <f>IF(AL23=1000000,0,IF(AM22=0,0,AL23-AL22))</f>
        <v>1000000</v>
      </c>
      <c r="AN23" s="5">
        <f>IF(AL23=1000000,0,IF(AN22=0,0,AN22+AL23))</f>
        <v>8000000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5"/>
      <c r="BP23" s="7">
        <f t="shared" si="3"/>
        <v>0</v>
      </c>
      <c r="BQ23" s="66"/>
      <c r="BS23" s="9">
        <f>'Verification of Boxes'!J25</f>
        <v>0</v>
      </c>
      <c r="BT23" s="64"/>
      <c r="BU23" s="5">
        <f t="shared" si="4"/>
        <v>0</v>
      </c>
      <c r="BV23" s="64"/>
      <c r="BW23" s="5">
        <f t="shared" si="5"/>
        <v>0</v>
      </c>
      <c r="BX23" s="64"/>
      <c r="BY23" s="5">
        <f t="shared" si="6"/>
        <v>0</v>
      </c>
      <c r="BZ23" s="64"/>
      <c r="CA23" s="5">
        <f t="shared" si="7"/>
        <v>0</v>
      </c>
      <c r="CB23" s="64"/>
      <c r="CC23" s="5">
        <f t="shared" si="8"/>
        <v>0</v>
      </c>
      <c r="CD23" s="64"/>
      <c r="CE23" s="5">
        <f t="shared" si="9"/>
        <v>0</v>
      </c>
      <c r="CF23" s="5">
        <f t="shared" si="10"/>
        <v>0</v>
      </c>
    </row>
    <row r="24" spans="1:84" ht="15" customHeight="1" thickBot="1" x14ac:dyDescent="0.3">
      <c r="A24" s="20">
        <f t="shared" si="12"/>
        <v>0</v>
      </c>
      <c r="B24" s="235">
        <f>'Stage 17'!B70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>'Stage 6'!N24</f>
        <v>0</v>
      </c>
      <c r="O24" s="135">
        <f>'Stage 6'!O24</f>
        <v>0</v>
      </c>
      <c r="P24" s="71">
        <f>'Stage 7'!P24</f>
        <v>0</v>
      </c>
      <c r="Q24" s="135">
        <f>'Stage 7'!Q24</f>
        <v>0</v>
      </c>
      <c r="R24" s="71">
        <f>'Stage 8'!R24</f>
        <v>0</v>
      </c>
      <c r="S24" s="135">
        <f>'Stage 8'!S24</f>
        <v>0</v>
      </c>
      <c r="T24" s="71">
        <f>'Stage 9'!T24</f>
        <v>0</v>
      </c>
      <c r="U24" s="135">
        <f>'Stage 9'!U24</f>
        <v>0</v>
      </c>
      <c r="V24" s="71">
        <f>'Stage 10'!V24</f>
        <v>0</v>
      </c>
      <c r="W24" s="135">
        <f>'Stage 10'!W24</f>
        <v>0</v>
      </c>
      <c r="Z24" s="95">
        <f>'Verification of Boxes'!J20</f>
        <v>0</v>
      </c>
      <c r="AA24" s="37">
        <f t="shared" si="16"/>
        <v>0</v>
      </c>
      <c r="AB24" s="5"/>
      <c r="AC24" s="100">
        <f t="shared" si="13"/>
        <v>0</v>
      </c>
      <c r="AD24" s="110"/>
      <c r="AE24" s="5">
        <f t="shared" si="17"/>
        <v>0</v>
      </c>
      <c r="AF24" s="5">
        <f t="shared" si="14"/>
        <v>0</v>
      </c>
      <c r="AG24" s="96">
        <f t="shared" si="15"/>
        <v>0</v>
      </c>
      <c r="AJ24" s="341" t="s">
        <v>185</v>
      </c>
      <c r="AK24" s="293"/>
      <c r="AL24" s="37">
        <f>IF(AR46=1000000,0,AU46)</f>
        <v>5000000</v>
      </c>
      <c r="AM24" s="5">
        <f>IF(AL24=1000000,0,IF(AM23=0,0,AL24-AL23))</f>
        <v>1000000</v>
      </c>
      <c r="AN24" s="5">
        <f>IF(AL24=1000000,0,IF(AN23=0,0,AN23+AL24))</f>
        <v>13000000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189</v>
      </c>
      <c r="BA24" s="3" t="s">
        <v>190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5"/>
      <c r="BP24" s="7">
        <f t="shared" si="3"/>
        <v>0</v>
      </c>
      <c r="BQ24" s="66"/>
      <c r="BS24" s="9">
        <f>'Verification of Boxes'!J26</f>
        <v>0</v>
      </c>
      <c r="BT24" s="64"/>
      <c r="BU24" s="5">
        <f t="shared" si="4"/>
        <v>0</v>
      </c>
      <c r="BV24" s="64"/>
      <c r="BW24" s="5">
        <f t="shared" si="5"/>
        <v>0</v>
      </c>
      <c r="BX24" s="64"/>
      <c r="BY24" s="5">
        <f t="shared" si="6"/>
        <v>0</v>
      </c>
      <c r="BZ24" s="64"/>
      <c r="CA24" s="5">
        <f t="shared" si="7"/>
        <v>0</v>
      </c>
      <c r="CB24" s="64"/>
      <c r="CC24" s="5">
        <f t="shared" si="8"/>
        <v>0</v>
      </c>
      <c r="CD24" s="64"/>
      <c r="CE24" s="5">
        <f t="shared" si="9"/>
        <v>0</v>
      </c>
      <c r="CF24" s="5">
        <f t="shared" si="10"/>
        <v>0</v>
      </c>
    </row>
    <row r="25" spans="1:84" ht="15" customHeight="1" thickBot="1" x14ac:dyDescent="0.3">
      <c r="A25" s="20">
        <f t="shared" si="12"/>
        <v>0</v>
      </c>
      <c r="B25" s="235">
        <f>'Stage 17'!B71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>'Stage 6'!N25</f>
        <v>0</v>
      </c>
      <c r="O25" s="135">
        <f>'Stage 6'!O25</f>
        <v>0</v>
      </c>
      <c r="P25" s="71">
        <f>'Stage 7'!P25</f>
        <v>0</v>
      </c>
      <c r="Q25" s="135">
        <f>'Stage 7'!Q25</f>
        <v>0</v>
      </c>
      <c r="R25" s="71">
        <f>'Stage 8'!R25</f>
        <v>0</v>
      </c>
      <c r="S25" s="135">
        <f>'Stage 8'!S25</f>
        <v>0</v>
      </c>
      <c r="T25" s="71">
        <f>'Stage 9'!T25</f>
        <v>0</v>
      </c>
      <c r="U25" s="135">
        <f>'Stage 9'!U25</f>
        <v>0</v>
      </c>
      <c r="V25" s="71">
        <f>'Stage 10'!V25</f>
        <v>0</v>
      </c>
      <c r="W25" s="135">
        <f>'Stage 10'!W25</f>
        <v>0</v>
      </c>
      <c r="Z25" s="95">
        <f>'Verification of Boxes'!J21</f>
        <v>0</v>
      </c>
      <c r="AA25" s="37">
        <f t="shared" si="16"/>
        <v>0</v>
      </c>
      <c r="AB25" s="5"/>
      <c r="AC25" s="100">
        <f t="shared" si="13"/>
        <v>0</v>
      </c>
      <c r="AD25" s="110"/>
      <c r="AE25" s="5">
        <f t="shared" si="17"/>
        <v>0</v>
      </c>
      <c r="AF25" s="5">
        <f t="shared" si="14"/>
        <v>0</v>
      </c>
      <c r="AG25" s="96">
        <f t="shared" si="15"/>
        <v>0</v>
      </c>
      <c r="AJ25" s="355" t="s">
        <v>185</v>
      </c>
      <c r="AK25" s="356"/>
      <c r="AL25" s="89">
        <f>IF(AL24=1000000,0,AW46)</f>
        <v>6000000</v>
      </c>
      <c r="AM25" s="90">
        <f>IF(AL25=1000000,0,IF(AM24=0,0,AL25-AL24))</f>
        <v>1000000</v>
      </c>
      <c r="AN25" s="90">
        <f>IF(AL25=1000000,0,IF(AN24=0,0,AN24+AL25))</f>
        <v>19000000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0</v>
      </c>
      <c r="BE25" s="61" t="s">
        <v>193</v>
      </c>
      <c r="BF25" s="5">
        <f>SUM(BF5:BF24)</f>
        <v>0</v>
      </c>
      <c r="BG25" s="100">
        <f>SUM(BG5:BG24)</f>
        <v>0</v>
      </c>
      <c r="BM25" s="3"/>
      <c r="BN25" s="5">
        <f t="shared" si="11"/>
        <v>0</v>
      </c>
      <c r="BO25" s="5"/>
      <c r="BP25" s="7">
        <f t="shared" si="3"/>
        <v>0</v>
      </c>
      <c r="BQ25" s="66"/>
      <c r="BS25" s="9">
        <f>'Verification of Boxes'!J27</f>
        <v>0</v>
      </c>
      <c r="BT25" s="64"/>
      <c r="BU25" s="5">
        <f t="shared" si="4"/>
        <v>0</v>
      </c>
      <c r="BV25" s="64"/>
      <c r="BW25" s="5">
        <f t="shared" si="5"/>
        <v>0</v>
      </c>
      <c r="BX25" s="64"/>
      <c r="BY25" s="5">
        <f t="shared" si="6"/>
        <v>0</v>
      </c>
      <c r="BZ25" s="64"/>
      <c r="CA25" s="5">
        <f t="shared" si="7"/>
        <v>0</v>
      </c>
      <c r="CB25" s="64"/>
      <c r="CC25" s="5">
        <f t="shared" si="8"/>
        <v>0</v>
      </c>
      <c r="CD25" s="64"/>
      <c r="CE25" s="5">
        <f t="shared" si="9"/>
        <v>0</v>
      </c>
      <c r="CF25" s="5">
        <f t="shared" si="10"/>
        <v>0</v>
      </c>
    </row>
    <row r="26" spans="1:84" ht="15" customHeight="1" thickBot="1" x14ac:dyDescent="0.3">
      <c r="A26" s="20">
        <f t="shared" si="12"/>
        <v>0</v>
      </c>
      <c r="B26" s="235">
        <f>'Stage 17'!B72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>'Stage 6'!N26</f>
        <v>0</v>
      </c>
      <c r="O26" s="135">
        <f>'Stage 6'!O26</f>
        <v>0</v>
      </c>
      <c r="P26" s="71">
        <f>'Stage 7'!P26</f>
        <v>0</v>
      </c>
      <c r="Q26" s="135">
        <f>'Stage 7'!Q26</f>
        <v>0</v>
      </c>
      <c r="R26" s="71">
        <f>'Stage 8'!R26</f>
        <v>0</v>
      </c>
      <c r="S26" s="135">
        <f>'Stage 8'!S26</f>
        <v>0</v>
      </c>
      <c r="T26" s="71">
        <f>'Stage 9'!T26</f>
        <v>0</v>
      </c>
      <c r="U26" s="135">
        <f>'Stage 9'!U26</f>
        <v>0</v>
      </c>
      <c r="V26" s="71">
        <f>'Stage 10'!V26</f>
        <v>0</v>
      </c>
      <c r="W26" s="135">
        <f>'Stage 10'!W26</f>
        <v>0</v>
      </c>
      <c r="Z26" s="95">
        <f>'Verification of Boxes'!J22</f>
        <v>0</v>
      </c>
      <c r="AA26" s="37">
        <f t="shared" si="16"/>
        <v>0</v>
      </c>
      <c r="AB26" s="5"/>
      <c r="AC26" s="100">
        <f t="shared" si="13"/>
        <v>0</v>
      </c>
      <c r="AD26" s="110"/>
      <c r="AE26" s="5">
        <f t="shared" si="17"/>
        <v>0</v>
      </c>
      <c r="AF26" s="5">
        <f t="shared" si="14"/>
        <v>0</v>
      </c>
      <c r="AG26" s="96">
        <f t="shared" si="15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194</v>
      </c>
      <c r="BF26" s="64"/>
      <c r="BG26" s="100">
        <f>IF(AT5="T",BC25+BC31,0)</f>
        <v>0</v>
      </c>
      <c r="BM26" s="3"/>
      <c r="BN26" s="5">
        <f t="shared" si="11"/>
        <v>0</v>
      </c>
      <c r="BO26" s="5"/>
      <c r="BP26" s="7">
        <f t="shared" si="3"/>
        <v>0</v>
      </c>
      <c r="BQ26" s="66"/>
      <c r="BS26" s="9">
        <f>'Verification of Boxes'!J28</f>
        <v>0</v>
      </c>
      <c r="BT26" s="64"/>
      <c r="BU26" s="5">
        <f t="shared" si="4"/>
        <v>0</v>
      </c>
      <c r="BV26" s="64"/>
      <c r="BW26" s="5">
        <f t="shared" si="5"/>
        <v>0</v>
      </c>
      <c r="BX26" s="64"/>
      <c r="BY26" s="5">
        <f t="shared" si="6"/>
        <v>0</v>
      </c>
      <c r="BZ26" s="64"/>
      <c r="CA26" s="5">
        <f t="shared" si="7"/>
        <v>0</v>
      </c>
      <c r="CB26" s="64"/>
      <c r="CC26" s="5">
        <f t="shared" si="8"/>
        <v>0</v>
      </c>
      <c r="CD26" s="64"/>
      <c r="CE26" s="5">
        <f t="shared" si="9"/>
        <v>0</v>
      </c>
      <c r="CF26" s="5">
        <f t="shared" si="10"/>
        <v>0</v>
      </c>
    </row>
    <row r="27" spans="1:84" ht="13" thickBot="1" x14ac:dyDescent="0.3">
      <c r="A27" s="20">
        <f t="shared" si="12"/>
        <v>0</v>
      </c>
      <c r="B27" s="235">
        <f>'Stage 17'!B73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>'Stage 6'!N27</f>
        <v>0</v>
      </c>
      <c r="O27" s="135">
        <f>'Stage 6'!O27</f>
        <v>0</v>
      </c>
      <c r="P27" s="71">
        <f>'Stage 7'!P27</f>
        <v>0</v>
      </c>
      <c r="Q27" s="135">
        <f>'Stage 7'!Q27</f>
        <v>0</v>
      </c>
      <c r="R27" s="71">
        <f>'Stage 8'!R27</f>
        <v>0</v>
      </c>
      <c r="S27" s="135">
        <f>'Stage 8'!S27</f>
        <v>0</v>
      </c>
      <c r="T27" s="71">
        <f>'Stage 9'!T27</f>
        <v>0</v>
      </c>
      <c r="U27" s="135">
        <f>'Stage 9'!U27</f>
        <v>0</v>
      </c>
      <c r="V27" s="71">
        <f>'Stage 10'!V27</f>
        <v>0</v>
      </c>
      <c r="W27" s="135">
        <f>'Stage 10'!W27</f>
        <v>0</v>
      </c>
      <c r="Z27" s="95">
        <f>'Verification of Boxes'!J23</f>
        <v>0</v>
      </c>
      <c r="AA27" s="37">
        <f t="shared" si="16"/>
        <v>0</v>
      </c>
      <c r="AB27" s="5"/>
      <c r="AC27" s="100">
        <f t="shared" si="13"/>
        <v>0</v>
      </c>
      <c r="AD27" s="110"/>
      <c r="AE27" s="5">
        <f t="shared" si="17"/>
        <v>0</v>
      </c>
      <c r="AF27" s="5">
        <f t="shared" si="14"/>
        <v>0</v>
      </c>
      <c r="AG27" s="96">
        <f t="shared" si="15"/>
        <v>0</v>
      </c>
      <c r="AJ27" s="98"/>
      <c r="AK27" s="98"/>
      <c r="AT27" s="5">
        <f>AW27</f>
        <v>0</v>
      </c>
      <c r="AU27" s="5">
        <f t="shared" ref="AU27:AU32" si="18">IF(AO20&lt;&gt;0,1,0)</f>
        <v>0</v>
      </c>
      <c r="AV27" s="5">
        <f>AU27</f>
        <v>0</v>
      </c>
      <c r="AW27" s="5">
        <f t="shared" ref="AW27:AW32" si="19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0</v>
      </c>
      <c r="BG27" s="101">
        <f>SUM(BG25:BG26)</f>
        <v>0</v>
      </c>
      <c r="BM27" s="3"/>
      <c r="BN27" s="5">
        <f t="shared" si="11"/>
        <v>0</v>
      </c>
      <c r="BO27" s="5"/>
      <c r="BP27" s="7">
        <f t="shared" si="3"/>
        <v>0</v>
      </c>
      <c r="BQ27" s="66"/>
      <c r="BS27" s="9">
        <f>'Verification of Boxes'!J29</f>
        <v>0</v>
      </c>
      <c r="BT27" s="117"/>
      <c r="BU27" s="5">
        <f t="shared" si="4"/>
        <v>0</v>
      </c>
      <c r="BV27" s="117"/>
      <c r="BW27" s="5">
        <f t="shared" si="5"/>
        <v>0</v>
      </c>
      <c r="BX27" s="117"/>
      <c r="BY27" s="5">
        <f t="shared" si="6"/>
        <v>0</v>
      </c>
      <c r="BZ27" s="117"/>
      <c r="CA27" s="5">
        <f t="shared" si="7"/>
        <v>0</v>
      </c>
      <c r="CB27" s="117"/>
      <c r="CC27" s="5">
        <f t="shared" si="8"/>
        <v>0</v>
      </c>
      <c r="CD27" s="117"/>
      <c r="CE27" s="5">
        <f t="shared" si="9"/>
        <v>0</v>
      </c>
      <c r="CF27" s="5">
        <f t="shared" si="10"/>
        <v>0</v>
      </c>
    </row>
    <row r="28" spans="1:84" ht="14.25" customHeight="1" thickBot="1" x14ac:dyDescent="0.3">
      <c r="A28" s="20">
        <f t="shared" si="12"/>
        <v>0</v>
      </c>
      <c r="B28" s="235">
        <f>'Stage 17'!B74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>'Stage 6'!N28</f>
        <v>0</v>
      </c>
      <c r="O28" s="135">
        <f>'Stage 6'!O28</f>
        <v>0</v>
      </c>
      <c r="P28" s="71">
        <f>'Stage 7'!P28</f>
        <v>0</v>
      </c>
      <c r="Q28" s="135">
        <f>'Stage 7'!Q28</f>
        <v>0</v>
      </c>
      <c r="R28" s="71">
        <f>'Stage 8'!R28</f>
        <v>0</v>
      </c>
      <c r="S28" s="135">
        <f>'Stage 8'!S28</f>
        <v>0</v>
      </c>
      <c r="T28" s="71">
        <f>'Stage 9'!T28</f>
        <v>0</v>
      </c>
      <c r="U28" s="135">
        <f>'Stage 9'!U28</f>
        <v>0</v>
      </c>
      <c r="V28" s="71">
        <f>'Stage 10'!V28</f>
        <v>0</v>
      </c>
      <c r="W28" s="135">
        <f>'Stage 10'!W28</f>
        <v>0</v>
      </c>
      <c r="Z28" s="95">
        <f>'Verification of Boxes'!J24</f>
        <v>0</v>
      </c>
      <c r="AA28" s="37">
        <f t="shared" si="16"/>
        <v>0</v>
      </c>
      <c r="AB28" s="5"/>
      <c r="AC28" s="100">
        <f t="shared" si="13"/>
        <v>0</v>
      </c>
      <c r="AD28" s="110"/>
      <c r="AE28" s="5">
        <f t="shared" si="17"/>
        <v>0</v>
      </c>
      <c r="AF28" s="5">
        <f t="shared" si="14"/>
        <v>0</v>
      </c>
      <c r="AG28" s="96">
        <f t="shared" si="15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1</v>
      </c>
      <c r="AU28" s="5">
        <f t="shared" si="18"/>
        <v>0</v>
      </c>
      <c r="AV28" s="5">
        <f>AV27+AU28</f>
        <v>0</v>
      </c>
      <c r="AW28" s="5">
        <f t="shared" si="19"/>
        <v>1</v>
      </c>
      <c r="BA28" s="3"/>
      <c r="BB28" s="3"/>
      <c r="BC28" s="2"/>
      <c r="BS28" s="19" t="s">
        <v>123</v>
      </c>
      <c r="BT28" s="63"/>
      <c r="BU28" s="119">
        <f t="shared" si="4"/>
        <v>0</v>
      </c>
      <c r="BV28" s="63"/>
      <c r="BW28" s="119">
        <f t="shared" si="5"/>
        <v>0</v>
      </c>
      <c r="BX28" s="63"/>
      <c r="BY28" s="119">
        <f t="shared" si="6"/>
        <v>0</v>
      </c>
      <c r="BZ28" s="63"/>
      <c r="CA28" s="119">
        <f t="shared" si="7"/>
        <v>0</v>
      </c>
      <c r="CB28" s="63"/>
      <c r="CC28" s="119">
        <f t="shared" si="8"/>
        <v>0</v>
      </c>
      <c r="CD28" s="63"/>
      <c r="CE28" s="110">
        <f t="shared" si="9"/>
        <v>0</v>
      </c>
      <c r="CF28" s="5">
        <f t="shared" si="10"/>
        <v>0</v>
      </c>
    </row>
    <row r="29" spans="1:84" ht="13.5" thickBot="1" x14ac:dyDescent="0.35">
      <c r="A29" s="20">
        <f t="shared" si="12"/>
        <v>0</v>
      </c>
      <c r="B29" s="235">
        <f>'Stage 17'!B75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>'Stage 6'!N29</f>
        <v>0</v>
      </c>
      <c r="O29" s="135">
        <f>'Stage 6'!O29</f>
        <v>0</v>
      </c>
      <c r="P29" s="71">
        <f>'Stage 7'!P29</f>
        <v>0</v>
      </c>
      <c r="Q29" s="135">
        <f>'Stage 7'!Q29</f>
        <v>0</v>
      </c>
      <c r="R29" s="71">
        <f>'Stage 8'!R29</f>
        <v>0</v>
      </c>
      <c r="S29" s="135">
        <f>'Stage 8'!S29</f>
        <v>0</v>
      </c>
      <c r="T29" s="71">
        <f>'Stage 9'!T29</f>
        <v>0</v>
      </c>
      <c r="U29" s="135">
        <f>'Stage 9'!U29</f>
        <v>0</v>
      </c>
      <c r="V29" s="71">
        <f>'Stage 10'!V29</f>
        <v>0</v>
      </c>
      <c r="W29" s="135">
        <f>'Stage 10'!W29</f>
        <v>0</v>
      </c>
      <c r="Z29" s="95">
        <f>'Verification of Boxes'!J25</f>
        <v>0</v>
      </c>
      <c r="AA29" s="37">
        <f t="shared" si="16"/>
        <v>0</v>
      </c>
      <c r="AB29" s="5"/>
      <c r="AC29" s="100">
        <f t="shared" si="13"/>
        <v>0</v>
      </c>
      <c r="AD29" s="110"/>
      <c r="AE29" s="5">
        <f t="shared" si="17"/>
        <v>0</v>
      </c>
      <c r="AF29" s="5">
        <f t="shared" si="14"/>
        <v>0</v>
      </c>
      <c r="AG29" s="96">
        <f t="shared" si="15"/>
        <v>0</v>
      </c>
      <c r="AL29" s="330"/>
      <c r="AM29" s="331"/>
      <c r="AN29" s="331"/>
      <c r="AO29" s="331"/>
      <c r="AP29" s="331"/>
      <c r="AQ29" s="332"/>
      <c r="AT29" s="5">
        <f>AT28+AW29</f>
        <v>1</v>
      </c>
      <c r="AU29" s="5">
        <f t="shared" si="18"/>
        <v>0</v>
      </c>
      <c r="AV29" s="5">
        <f>AV28+AU29</f>
        <v>0</v>
      </c>
      <c r="AW29" s="5">
        <f t="shared" si="19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0</v>
      </c>
      <c r="BS29" s="5" t="s">
        <v>200</v>
      </c>
      <c r="BT29" s="118">
        <f>SUM(BT8:BT28)</f>
        <v>0</v>
      </c>
      <c r="BU29" s="5">
        <f t="shared" si="4"/>
        <v>0</v>
      </c>
      <c r="BV29" s="118">
        <f>SUM(BV8:BV28)</f>
        <v>0</v>
      </c>
      <c r="BW29" s="5">
        <f t="shared" si="5"/>
        <v>0</v>
      </c>
      <c r="BX29" s="118">
        <f>SUM(BX8:BX28)</f>
        <v>0</v>
      </c>
      <c r="BY29" s="5">
        <f t="shared" si="6"/>
        <v>0</v>
      </c>
      <c r="BZ29" s="118">
        <f>SUM(BZ8:BZ28)</f>
        <v>0</v>
      </c>
      <c r="CA29" s="5">
        <f t="shared" si="7"/>
        <v>0</v>
      </c>
      <c r="CB29" s="118">
        <f>SUM(CB8:CB28)</f>
        <v>0</v>
      </c>
      <c r="CC29" s="5">
        <f t="shared" si="8"/>
        <v>0</v>
      </c>
      <c r="CD29" s="118">
        <f>SUM(CD8:CD28)</f>
        <v>0</v>
      </c>
      <c r="CE29" s="5">
        <f t="shared" si="9"/>
        <v>0</v>
      </c>
      <c r="CF29" s="5">
        <f>SUM(CF8:CF28)</f>
        <v>0</v>
      </c>
    </row>
    <row r="30" spans="1:84" ht="14.25" customHeight="1" thickBot="1" x14ac:dyDescent="0.3">
      <c r="A30" s="21">
        <f t="shared" si="12"/>
        <v>0</v>
      </c>
      <c r="B30" s="235">
        <f>'Stage 17'!B76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>'Stage 6'!N30</f>
        <v>0</v>
      </c>
      <c r="O30" s="135">
        <f>'Stage 6'!O30</f>
        <v>0</v>
      </c>
      <c r="P30" s="71">
        <f>'Stage 7'!P30</f>
        <v>0</v>
      </c>
      <c r="Q30" s="135">
        <f>'Stage 7'!Q30</f>
        <v>0</v>
      </c>
      <c r="R30" s="71">
        <f>'Stage 8'!R30</f>
        <v>0</v>
      </c>
      <c r="S30" s="135">
        <f>'Stage 8'!S30</f>
        <v>0</v>
      </c>
      <c r="T30" s="71">
        <f>'Stage 9'!T30</f>
        <v>0</v>
      </c>
      <c r="U30" s="135">
        <f>'Stage 9'!U30</f>
        <v>0</v>
      </c>
      <c r="V30" s="71">
        <f>'Stage 10'!V30</f>
        <v>0</v>
      </c>
      <c r="W30" s="135">
        <f>'Stage 10'!W30</f>
        <v>0</v>
      </c>
      <c r="Z30" s="95">
        <f>'Verification of Boxes'!J26</f>
        <v>0</v>
      </c>
      <c r="AA30" s="37">
        <f t="shared" si="16"/>
        <v>0</v>
      </c>
      <c r="AB30" s="5"/>
      <c r="AC30" s="100">
        <f t="shared" si="13"/>
        <v>0</v>
      </c>
      <c r="AD30" s="110"/>
      <c r="AE30" s="5">
        <f t="shared" si="17"/>
        <v>0</v>
      </c>
      <c r="AF30" s="5">
        <f t="shared" si="14"/>
        <v>0</v>
      </c>
      <c r="AG30" s="96">
        <f t="shared" si="15"/>
        <v>0</v>
      </c>
      <c r="AL30" s="188"/>
      <c r="AM30" s="188"/>
      <c r="AN30" s="188"/>
      <c r="AO30" s="188"/>
      <c r="AP30" s="188"/>
      <c r="AQ30" s="188"/>
      <c r="AT30" s="5">
        <f>AT29+AW30</f>
        <v>1</v>
      </c>
      <c r="AU30" s="5">
        <f t="shared" si="18"/>
        <v>0</v>
      </c>
      <c r="AV30" s="5">
        <f>AV29+AU30</f>
        <v>0</v>
      </c>
      <c r="AW30" s="5">
        <f t="shared" si="19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334</v>
      </c>
      <c r="BJ30" s="328"/>
      <c r="BK30" s="329"/>
      <c r="BY30" s="333" t="str">
        <f>IF(BX31=BX69,"Calculations OK","Check Count for Error")</f>
        <v>Calculations OK</v>
      </c>
      <c r="BZ30" s="333"/>
    </row>
    <row r="31" spans="1:84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1">
        <f>'Stage 3'!H31</f>
        <v>20.059999999999999</v>
      </c>
      <c r="I31" s="135">
        <f>'Stage 3'!I31</f>
        <v>20.079999999999995</v>
      </c>
      <c r="J31" s="71">
        <f>'Stage 4'!J31</f>
        <v>6.7899999999999991</v>
      </c>
      <c r="K31" s="135">
        <f>'Stage 4'!K31</f>
        <v>26.869999999999994</v>
      </c>
      <c r="L31" s="71">
        <f>'Stage 5'!L31</f>
        <v>1.7599999999999092</v>
      </c>
      <c r="M31" s="135">
        <f>'Stage 5'!M31</f>
        <v>28.629999999999903</v>
      </c>
      <c r="N31" s="71">
        <f>'Stage 6'!N31</f>
        <v>35.320000000000007</v>
      </c>
      <c r="O31" s="135">
        <f>'Stage 6'!O31</f>
        <v>63.94999999999991</v>
      </c>
      <c r="P31" s="71">
        <f>'Stage 7'!P31</f>
        <v>228.78</v>
      </c>
      <c r="Q31" s="135">
        <f>'Stage 7'!Q31</f>
        <v>292.7299999999999</v>
      </c>
      <c r="R31" s="71">
        <f>'Stage 8'!R31</f>
        <v>171.26999999999998</v>
      </c>
      <c r="S31" s="135">
        <f>'Stage 8'!S31</f>
        <v>463.99999999999989</v>
      </c>
      <c r="T31" s="71">
        <f>'Stage 9'!T31</f>
        <v>0</v>
      </c>
      <c r="U31" s="135">
        <f>'Stage 9'!U31</f>
        <v>463.99999999999989</v>
      </c>
      <c r="V31" s="71">
        <f>'Stage 10'!V31</f>
        <v>0</v>
      </c>
      <c r="W31" s="135">
        <f>'Stage 10'!W31</f>
        <v>0</v>
      </c>
      <c r="Z31" s="95">
        <f>'Verification of Boxes'!J27</f>
        <v>0</v>
      </c>
      <c r="AA31" s="37">
        <f t="shared" si="16"/>
        <v>0</v>
      </c>
      <c r="AB31" s="5"/>
      <c r="AC31" s="100">
        <f t="shared" si="13"/>
        <v>0</v>
      </c>
      <c r="AD31" s="110"/>
      <c r="AE31" s="5">
        <f t="shared" si="17"/>
        <v>0</v>
      </c>
      <c r="AF31" s="5">
        <f t="shared" si="14"/>
        <v>0</v>
      </c>
      <c r="AG31" s="96">
        <f t="shared" si="15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1</v>
      </c>
      <c r="AU31" s="5">
        <f t="shared" si="18"/>
        <v>0</v>
      </c>
      <c r="AV31" s="5">
        <f>AV30+AU31</f>
        <v>0</v>
      </c>
      <c r="AW31" s="5">
        <f t="shared" si="19"/>
        <v>0</v>
      </c>
      <c r="AZ31" t="s">
        <v>203</v>
      </c>
      <c r="BA31" s="3" t="s">
        <v>204</v>
      </c>
      <c r="BB31" s="3"/>
      <c r="BC31" s="50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W31" t="s">
        <v>119</v>
      </c>
      <c r="BX31" s="5">
        <f>BU29+BW29+BY29+CA29+CC29+CE29</f>
        <v>0</v>
      </c>
      <c r="BY31" s="311"/>
      <c r="BZ31" s="311"/>
      <c r="CA31" s="5">
        <f>BX69-BX31</f>
        <v>0</v>
      </c>
      <c r="CC31" s="327" t="s">
        <v>334</v>
      </c>
      <c r="CD31" s="328"/>
      <c r="CE31" s="328"/>
      <c r="CF31" s="329"/>
    </row>
    <row r="32" spans="1:84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1"/>
      <c r="I32" s="135">
        <f>'Stage 3'!I32</f>
        <v>7496</v>
      </c>
      <c r="J32" s="192"/>
      <c r="K32" s="135">
        <f>'Stage 4'!K32</f>
        <v>7495.9999999999991</v>
      </c>
      <c r="L32" s="192"/>
      <c r="M32" s="135">
        <f>'Stage 5'!M32</f>
        <v>7495.9999999999991</v>
      </c>
      <c r="N32" s="192"/>
      <c r="O32" s="135">
        <f>'Stage 6'!O32</f>
        <v>7496</v>
      </c>
      <c r="P32" s="192"/>
      <c r="Q32" s="135">
        <f>'Stage 7'!Q32</f>
        <v>7496</v>
      </c>
      <c r="R32" s="192"/>
      <c r="S32" s="135">
        <f>'Stage 8'!S32</f>
        <v>7496</v>
      </c>
      <c r="T32" s="192"/>
      <c r="U32" s="135">
        <f>'Stage 9'!U32</f>
        <v>6750.52</v>
      </c>
      <c r="V32" s="190"/>
      <c r="W32" s="135">
        <f>'Stage 10'!W32</f>
        <v>0</v>
      </c>
      <c r="Z32" s="95">
        <f>'Verification of Boxes'!J28</f>
        <v>0</v>
      </c>
      <c r="AA32" s="37">
        <f t="shared" si="16"/>
        <v>0</v>
      </c>
      <c r="AB32" s="5"/>
      <c r="AC32" s="100">
        <f t="shared" si="13"/>
        <v>0</v>
      </c>
      <c r="AD32" s="110"/>
      <c r="AE32" s="5">
        <f t="shared" si="17"/>
        <v>0</v>
      </c>
      <c r="AF32" s="5">
        <f t="shared" si="14"/>
        <v>0</v>
      </c>
      <c r="AG32" s="96">
        <f t="shared" si="15"/>
        <v>0</v>
      </c>
      <c r="AL32" s="330"/>
      <c r="AM32" s="331"/>
      <c r="AN32" s="331"/>
      <c r="AO32" s="331"/>
      <c r="AP32" s="331"/>
      <c r="AQ32" s="332"/>
      <c r="AT32" s="5">
        <f>AT31+AW32</f>
        <v>1</v>
      </c>
      <c r="AU32" s="5">
        <f t="shared" si="18"/>
        <v>0</v>
      </c>
      <c r="AV32" s="5">
        <f>AV31+AU32</f>
        <v>0</v>
      </c>
      <c r="AW32" s="5">
        <f t="shared" si="19"/>
        <v>0</v>
      </c>
      <c r="BF32" s="311"/>
      <c r="BG32" s="311"/>
      <c r="BY32" s="311"/>
      <c r="BZ32" s="311"/>
      <c r="CC32" s="330"/>
      <c r="CD32" s="331"/>
      <c r="CE32" s="331"/>
      <c r="CF32" s="332"/>
    </row>
    <row r="33" spans="1:76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Q33" t="str">
        <f>IF(Q32=$G4,"Totals Correct","ERROR")</f>
        <v>Totals Correct</v>
      </c>
      <c r="S33" t="str">
        <f>IF(S32=$G4,"Totals Correct","ERROR")</f>
        <v>Totals Correct</v>
      </c>
      <c r="U33" t="str">
        <f>IF(U32=$G4,"Totals Correct","ERROR")</f>
        <v>ERROR</v>
      </c>
      <c r="W33" t="str">
        <f>IF(W32=$G4,"Totals Correct","ERROR")</f>
        <v>ERROR</v>
      </c>
      <c r="Z33" s="97">
        <f>'Verification of Boxes'!J29</f>
        <v>0</v>
      </c>
      <c r="AA33" s="89">
        <f t="shared" si="16"/>
        <v>0</v>
      </c>
      <c r="AB33" s="90"/>
      <c r="AC33" s="101">
        <f t="shared" si="13"/>
        <v>0</v>
      </c>
      <c r="AD33" s="147"/>
      <c r="AE33" s="90">
        <f t="shared" si="17"/>
        <v>0</v>
      </c>
      <c r="AF33" s="90">
        <f t="shared" si="14"/>
        <v>0</v>
      </c>
      <c r="AG33" s="148">
        <f t="shared" si="15"/>
        <v>0</v>
      </c>
    </row>
    <row r="34" spans="1:76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5">
        <f>'Stage 3'!I34</f>
        <v>0</v>
      </c>
      <c r="J34" s="219"/>
      <c r="K34" s="185">
        <f>'Stage 4'!K34</f>
        <v>0</v>
      </c>
      <c r="L34" s="219"/>
      <c r="M34" s="185">
        <f>'Stage 5'!M34</f>
        <v>0</v>
      </c>
      <c r="N34" s="219"/>
      <c r="O34" s="185">
        <f>'Stage 6'!O34</f>
        <v>0</v>
      </c>
      <c r="P34" s="219"/>
      <c r="Q34" s="185">
        <f>'Stage 7'!Q34</f>
        <v>0</v>
      </c>
      <c r="R34" s="219"/>
      <c r="S34" s="185">
        <f>'Stage 8'!S34</f>
        <v>0.77361111111111114</v>
      </c>
      <c r="T34" s="219"/>
      <c r="U34" s="185">
        <f>'Stage 9'!U34</f>
        <v>0</v>
      </c>
      <c r="V34" s="219"/>
      <c r="W34" s="185">
        <f>'Stage 10'!W34</f>
        <v>0</v>
      </c>
    </row>
    <row r="35" spans="1:76" x14ac:dyDescent="0.25">
      <c r="D35" s="25"/>
      <c r="E35" s="2"/>
      <c r="G35" s="2"/>
      <c r="I35" s="2"/>
      <c r="K35" s="2"/>
      <c r="M35" s="2"/>
      <c r="O35" s="2"/>
      <c r="Q35" s="2"/>
      <c r="S35" s="2"/>
      <c r="U35" s="2"/>
      <c r="W35" s="2"/>
    </row>
    <row r="36" spans="1:76" x14ac:dyDescent="0.25">
      <c r="D36" s="25"/>
      <c r="E36" s="2"/>
      <c r="G36" s="2"/>
      <c r="I36" s="2"/>
      <c r="K36" s="2"/>
      <c r="M36" s="2"/>
      <c r="O36" s="2"/>
      <c r="Q36" s="2"/>
      <c r="S36" s="2"/>
      <c r="U36" s="2"/>
      <c r="W36" s="2"/>
    </row>
    <row r="38" spans="1:76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1:76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1:76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0">AL39+AK40</f>
        <v>0</v>
      </c>
      <c r="AM40" s="5">
        <f t="shared" si="20"/>
        <v>0</v>
      </c>
      <c r="AN40" s="5">
        <f t="shared" si="20"/>
        <v>0</v>
      </c>
      <c r="AO40" s="5">
        <f t="shared" si="20"/>
        <v>0</v>
      </c>
      <c r="AP40" s="5">
        <f t="shared" si="20"/>
        <v>0</v>
      </c>
      <c r="AQ40" s="5">
        <f t="shared" si="20"/>
        <v>0</v>
      </c>
    </row>
    <row r="41" spans="1:76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1">IF(AK40=AL40,1,0)</f>
        <v>1</v>
      </c>
      <c r="AM41" s="5">
        <f t="shared" si="21"/>
        <v>1</v>
      </c>
      <c r="AN41" s="5">
        <f t="shared" si="21"/>
        <v>1</v>
      </c>
      <c r="AO41" s="5">
        <f t="shared" si="21"/>
        <v>1</v>
      </c>
      <c r="AP41" s="5">
        <f t="shared" si="21"/>
        <v>1</v>
      </c>
      <c r="AQ41" s="5">
        <f t="shared" si="21"/>
        <v>1</v>
      </c>
    </row>
    <row r="42" spans="1:76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22">IF(AM40=AL38,"add",0)</f>
        <v>0</v>
      </c>
      <c r="AM42" s="5">
        <f t="shared" si="22"/>
        <v>0</v>
      </c>
      <c r="AN42" s="5">
        <f t="shared" si="22"/>
        <v>0</v>
      </c>
      <c r="AO42" s="5">
        <f t="shared" si="22"/>
        <v>0</v>
      </c>
      <c r="AP42" s="5">
        <f t="shared" si="22"/>
        <v>0</v>
      </c>
      <c r="AQ42" s="5">
        <f t="shared" si="22"/>
        <v>0</v>
      </c>
    </row>
    <row r="43" spans="1:76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1:76" x14ac:dyDescent="0.25">
      <c r="Z44" s="253" t="str">
        <f t="array" ref="Z44:AB63">_xlfn._xlws.SORT(AJ48:AL67,3,,)</f>
        <v>EWING</v>
      </c>
      <c r="AA44" s="250">
        <v>0</v>
      </c>
      <c r="AB44" s="250">
        <v>1000000</v>
      </c>
      <c r="AC44" s="250">
        <f>AC43+AA44</f>
        <v>0</v>
      </c>
      <c r="AD44" s="250"/>
      <c r="AE44" s="252">
        <f>IF(AC44&gt;$AG$4,0,IF(AC44&lt;AA45,"Exclude this candidate",0))</f>
        <v>0</v>
      </c>
      <c r="AF44" s="250"/>
      <c r="AG44" s="250"/>
    </row>
    <row r="45" spans="1:76" ht="18" customHeight="1" x14ac:dyDescent="0.35">
      <c r="Z45" s="253" t="str">
        <v>FLYNN</v>
      </c>
      <c r="AA45" s="250">
        <v>0</v>
      </c>
      <c r="AB45" s="250">
        <v>1000000</v>
      </c>
      <c r="AC45" s="250">
        <f>AC44+AA45</f>
        <v>0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1:76" x14ac:dyDescent="0.25">
      <c r="Z46" s="253" t="str">
        <v>FRENCH</v>
      </c>
      <c r="AA46" s="250">
        <v>0</v>
      </c>
      <c r="AB46" s="250">
        <v>1000000</v>
      </c>
      <c r="AC46" s="250">
        <f t="shared" ref="AC46:AC63" si="23">AC45+AA46</f>
        <v>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1000000</v>
      </c>
      <c r="AN46" s="2">
        <f>AN47+AL46</f>
        <v>2000000</v>
      </c>
      <c r="AP46" s="2">
        <f>AP47+AN46</f>
        <v>3000000</v>
      </c>
      <c r="AR46" s="2">
        <f>AR47+AP46</f>
        <v>4000000</v>
      </c>
      <c r="AS46" s="2"/>
      <c r="AU46" s="2">
        <f>AU47+AR46</f>
        <v>5000000</v>
      </c>
      <c r="AW46" s="2">
        <f>AW47+AU46</f>
        <v>6000000</v>
      </c>
      <c r="AX46" s="2"/>
      <c r="BG46" t="s">
        <v>212</v>
      </c>
    </row>
    <row r="47" spans="1:76" ht="18.5" thickBot="1" x14ac:dyDescent="0.45">
      <c r="A47" s="76" t="str">
        <f>'Verification of Boxes'!B1</f>
        <v>Local Council Elections 2023</v>
      </c>
      <c r="F47" s="10" t="s">
        <v>286</v>
      </c>
      <c r="J47" s="85" t="s">
        <v>37</v>
      </c>
      <c r="K47" s="319">
        <f>'Basic Input'!C2</f>
        <v>45064</v>
      </c>
      <c r="L47" s="319"/>
      <c r="U47" s="8"/>
      <c r="Z47" s="253" t="str">
        <v>GIVAN</v>
      </c>
      <c r="AA47" s="250">
        <v>0</v>
      </c>
      <c r="AB47" s="250">
        <v>1000000</v>
      </c>
      <c r="AC47" s="250">
        <f t="shared" si="23"/>
        <v>0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1000000</v>
      </c>
      <c r="AN47" s="2">
        <f>MIN(AN48:AN67)</f>
        <v>1000000</v>
      </c>
      <c r="AP47" s="2">
        <f>MIN(AP48:AP67)</f>
        <v>1000000</v>
      </c>
      <c r="AR47" s="2">
        <f>MIN(AR48:AR67)</f>
        <v>1000000</v>
      </c>
      <c r="AS47" s="2"/>
      <c r="AU47" s="2">
        <f>MIN(AU48:AU67)</f>
        <v>1000000</v>
      </c>
      <c r="AW47" s="2">
        <f>MIN(AW48:AW67)</f>
        <v>1000000</v>
      </c>
      <c r="AX47" s="2"/>
    </row>
    <row r="48" spans="1:76" ht="33.75" customHeight="1" thickBot="1" x14ac:dyDescent="0.45">
      <c r="A48" s="10" t="str">
        <f>'Verification of Boxes'!A3</f>
        <v>District Electoral Area of</v>
      </c>
      <c r="D48" s="10" t="str">
        <f>'Verification of Boxes'!B3</f>
        <v>Lisburn South</v>
      </c>
      <c r="O48" s="345" t="s">
        <v>331</v>
      </c>
      <c r="P48" s="346"/>
      <c r="Q48" s="346"/>
      <c r="R48" s="346"/>
      <c r="S48" s="347"/>
      <c r="Z48" s="253" t="str">
        <v>GREHAN</v>
      </c>
      <c r="AA48" s="250">
        <v>0</v>
      </c>
      <c r="AB48" s="250">
        <v>1000000</v>
      </c>
      <c r="AC48" s="250">
        <f t="shared" si="23"/>
        <v>0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4">Z14</f>
        <v>EWING</v>
      </c>
      <c r="AK48" s="2">
        <f t="shared" si="24"/>
        <v>0</v>
      </c>
      <c r="AL48">
        <f>IF(AK48&lt;&gt;0,AK48,1000000)</f>
        <v>1000000</v>
      </c>
      <c r="AM48" s="2">
        <f t="shared" ref="AM48:AM67" si="25">AL48-AL$47</f>
        <v>0</v>
      </c>
      <c r="AN48">
        <f>IF(AM48&lt;&gt;0,AM48,1000000)</f>
        <v>1000000</v>
      </c>
      <c r="AO48" s="2">
        <f t="shared" ref="AO48:AO67" si="26">AN48-AN$47</f>
        <v>0</v>
      </c>
      <c r="AP48">
        <f t="shared" ref="AP48:AP67" si="27">IF(AO48&lt;&gt;0,AO48,1000000)</f>
        <v>1000000</v>
      </c>
      <c r="AQ48" s="2">
        <f t="shared" ref="AQ48:AQ67" si="28">AP48-AP$47</f>
        <v>0</v>
      </c>
      <c r="AR48">
        <f t="shared" ref="AR48:AR67" si="29">IF(AQ48&lt;&gt;0,AQ48,1000000)</f>
        <v>1000000</v>
      </c>
      <c r="AT48" s="2">
        <f t="shared" ref="AT48:AT67" si="30">AR48-AR$47</f>
        <v>0</v>
      </c>
      <c r="AU48">
        <f t="shared" ref="AU48:AU67" si="31">IF(AT48&lt;&gt;0,AT48,1000000)</f>
        <v>1000000</v>
      </c>
      <c r="AV48" s="2">
        <f t="shared" ref="AV48:AV67" si="32">AU48-AU$47</f>
        <v>0</v>
      </c>
      <c r="AW48">
        <f t="shared" ref="AW48:AW67" si="33">IF(AV48&lt;&gt;0,AV48,1000000)</f>
        <v>1000000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Q48" s="91"/>
      <c r="BX48" t="s">
        <v>218</v>
      </c>
    </row>
    <row r="49" spans="1:76" ht="22.5" customHeight="1" thickBot="1" x14ac:dyDescent="0.35">
      <c r="C49" s="3" t="s">
        <v>96</v>
      </c>
      <c r="D49" s="68">
        <f>'Verification of Boxes'!L2</f>
        <v>16838</v>
      </c>
      <c r="E49" s="306" t="s">
        <v>62</v>
      </c>
      <c r="F49" s="307"/>
      <c r="G49" s="131">
        <f>'Verification of Boxes'!G3</f>
        <v>6</v>
      </c>
      <c r="H49" s="306" t="s">
        <v>97</v>
      </c>
      <c r="I49" s="307"/>
      <c r="J49" s="131">
        <f>'Verification of Boxes'!L33</f>
        <v>99</v>
      </c>
      <c r="K49" s="306" t="s">
        <v>98</v>
      </c>
      <c r="L49" s="307"/>
      <c r="M49" s="131">
        <f>'Verification of Boxes'!G4</f>
        <v>1071</v>
      </c>
      <c r="O49" s="376" t="s">
        <v>279</v>
      </c>
      <c r="P49" s="377"/>
      <c r="Q49" s="377"/>
      <c r="R49" s="377"/>
      <c r="S49" s="378"/>
      <c r="Z49" s="253" t="str">
        <v>KENNEDY</v>
      </c>
      <c r="AA49" s="250">
        <v>0</v>
      </c>
      <c r="AB49" s="250">
        <v>1000000</v>
      </c>
      <c r="AC49" s="250">
        <f t="shared" si="23"/>
        <v>0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4"/>
        <v>FLYNN</v>
      </c>
      <c r="AK49" s="2">
        <f t="shared" si="24"/>
        <v>0</v>
      </c>
      <c r="AL49">
        <f t="shared" ref="AL49:AL67" si="34">IF(AK49&lt;&gt;0,AK49,1000000)</f>
        <v>1000000</v>
      </c>
      <c r="AM49" s="2">
        <f t="shared" si="25"/>
        <v>0</v>
      </c>
      <c r="AN49">
        <f t="shared" ref="AN49:AN67" si="35">IF(AM49&lt;&gt;0,AM49,1000000)</f>
        <v>1000000</v>
      </c>
      <c r="AO49" s="2">
        <f t="shared" si="26"/>
        <v>0</v>
      </c>
      <c r="AP49">
        <f t="shared" si="27"/>
        <v>1000000</v>
      </c>
      <c r="AQ49" s="2">
        <f t="shared" si="28"/>
        <v>0</v>
      </c>
      <c r="AR49">
        <f t="shared" si="29"/>
        <v>1000000</v>
      </c>
      <c r="AT49" s="2">
        <f t="shared" si="30"/>
        <v>0</v>
      </c>
      <c r="AU49">
        <f t="shared" si="31"/>
        <v>1000000</v>
      </c>
      <c r="AV49" s="2">
        <f t="shared" si="32"/>
        <v>0</v>
      </c>
      <c r="AW49">
        <f t="shared" si="33"/>
        <v>1000000</v>
      </c>
      <c r="BE49" s="5">
        <f>IF($BH5="y",$BE5,IF($BH6="y",$BE6,IF($BH7="y",$BE7,IF($BH8="y",$BE8,IF($BH9="y",$BE9,IF($BH10="y",$BE10,0))))))</f>
        <v>0</v>
      </c>
      <c r="BG49" s="125" t="str">
        <f t="shared" ref="BG49:BG68" si="36">BE5</f>
        <v>EWING</v>
      </c>
      <c r="BH49" s="126"/>
      <c r="BI49" s="5">
        <f t="shared" ref="BI49:BI68" si="37">IF(BE5=0,0,IF(BE5=BA$8,-BC$12,0))</f>
        <v>0</v>
      </c>
      <c r="BJ49" s="5">
        <f t="shared" ref="BJ49:BJ68" si="38">BN49</f>
        <v>0</v>
      </c>
      <c r="BK49" s="5">
        <f t="shared" ref="BK49:BK68" si="39">BG5+CF8+BJ49+BI49</f>
        <v>0</v>
      </c>
      <c r="BN49" s="5">
        <f>IF(BQ8="y",-BP8,0)</f>
        <v>0</v>
      </c>
      <c r="BX49" s="5">
        <f>IF(BQ8="y",BP8,0)</f>
        <v>0</v>
      </c>
    </row>
    <row r="50" spans="1:76" ht="30" customHeight="1" thickBot="1" x14ac:dyDescent="0.45">
      <c r="A50" s="10"/>
      <c r="C50" s="3" t="s">
        <v>99</v>
      </c>
      <c r="D50" s="131">
        <f>'Verification of Boxes'!L3</f>
        <v>7595</v>
      </c>
      <c r="E50" s="161" t="s">
        <v>100</v>
      </c>
      <c r="F50" s="160"/>
      <c r="G50" s="67">
        <f>D50-J49</f>
        <v>7496</v>
      </c>
      <c r="H50" s="161" t="s">
        <v>101</v>
      </c>
      <c r="I50" s="160"/>
      <c r="J50" s="132">
        <f>'Verification of Boxes'!L5</f>
        <v>45.106307162370825</v>
      </c>
      <c r="O50" s="379"/>
      <c r="P50" s="379"/>
      <c r="Q50" s="379"/>
      <c r="R50" s="379"/>
      <c r="S50" s="379"/>
      <c r="U50" s="380" t="str">
        <f>IF(W79="ERROR","DO NOT MOVE TO NEXT STAGE","SWITCH TO PAPER SYSTEM")</f>
        <v>DO NOT MOVE TO NEXT STAGE</v>
      </c>
      <c r="V50" s="380"/>
      <c r="W50" s="380"/>
      <c r="Z50" s="253" t="str">
        <v>MCEVOY</v>
      </c>
      <c r="AA50" s="250">
        <v>0</v>
      </c>
      <c r="AB50" s="250">
        <v>1000000</v>
      </c>
      <c r="AC50" s="250">
        <f t="shared" si="23"/>
        <v>0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4"/>
        <v>FRENCH</v>
      </c>
      <c r="AK50" s="2">
        <f t="shared" si="24"/>
        <v>0</v>
      </c>
      <c r="AL50">
        <f t="shared" si="34"/>
        <v>1000000</v>
      </c>
      <c r="AM50" s="2">
        <f t="shared" si="25"/>
        <v>0</v>
      </c>
      <c r="AN50">
        <f t="shared" si="35"/>
        <v>1000000</v>
      </c>
      <c r="AO50" s="2">
        <f t="shared" si="26"/>
        <v>0</v>
      </c>
      <c r="AP50">
        <f t="shared" si="27"/>
        <v>1000000</v>
      </c>
      <c r="AQ50" s="2">
        <f t="shared" si="28"/>
        <v>0</v>
      </c>
      <c r="AR50">
        <f t="shared" si="29"/>
        <v>1000000</v>
      </c>
      <c r="AT50" s="2">
        <f t="shared" si="30"/>
        <v>0</v>
      </c>
      <c r="AU50">
        <f t="shared" si="31"/>
        <v>1000000</v>
      </c>
      <c r="AV50" s="2">
        <f t="shared" si="32"/>
        <v>0</v>
      </c>
      <c r="AW50">
        <f t="shared" si="33"/>
        <v>1000000</v>
      </c>
      <c r="BE50" s="5">
        <f>IF($BH11="y",$BE11,IF($BH12="y",$BE12,IF($BH13="y",$BE13,IF($BH14="y",$BE14,IF($BH15="y",$BE15,IF($BH16="y",$BE16,0))))))</f>
        <v>0</v>
      </c>
      <c r="BG50" s="127" t="str">
        <f t="shared" si="36"/>
        <v>FLYNN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ref="BN50:BN68" si="40">IF(BQ9="y",-BP9,0)</f>
        <v>0</v>
      </c>
      <c r="BX50" s="5">
        <f t="shared" ref="BX50:BX68" si="41">IF(BQ9="y",BP9,0)</f>
        <v>0</v>
      </c>
    </row>
    <row r="51" spans="1:76" ht="12.75" customHeight="1" thickBot="1" x14ac:dyDescent="0.3">
      <c r="Z51" s="253" t="str">
        <v>MITCHELL</v>
      </c>
      <c r="AA51" s="250">
        <v>0</v>
      </c>
      <c r="AB51" s="250">
        <v>1000000</v>
      </c>
      <c r="AC51" s="250">
        <f t="shared" si="23"/>
        <v>0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4"/>
        <v>GIVAN</v>
      </c>
      <c r="AK51" s="2">
        <f t="shared" si="24"/>
        <v>0</v>
      </c>
      <c r="AL51">
        <f t="shared" si="34"/>
        <v>1000000</v>
      </c>
      <c r="AM51" s="2">
        <f t="shared" si="25"/>
        <v>0</v>
      </c>
      <c r="AN51">
        <f t="shared" si="35"/>
        <v>1000000</v>
      </c>
      <c r="AO51" s="2">
        <f t="shared" si="26"/>
        <v>0</v>
      </c>
      <c r="AP51">
        <f t="shared" si="27"/>
        <v>1000000</v>
      </c>
      <c r="AQ51" s="2">
        <f t="shared" si="28"/>
        <v>0</v>
      </c>
      <c r="AR51">
        <f t="shared" si="29"/>
        <v>1000000</v>
      </c>
      <c r="AT51" s="2">
        <f t="shared" si="30"/>
        <v>0</v>
      </c>
      <c r="AU51">
        <f t="shared" si="31"/>
        <v>1000000</v>
      </c>
      <c r="AV51" s="2">
        <f t="shared" si="32"/>
        <v>0</v>
      </c>
      <c r="AW51">
        <f t="shared" si="33"/>
        <v>1000000</v>
      </c>
      <c r="BE51" s="5">
        <f>IF($BH17="y",$BE17,IF($BH18="y",$BE18,IF($BH19="y",$BE19,IF($BH20="y",$BE20,IF($BH21="y",$BE21,IF($BH22="y",$BE22,0))))))</f>
        <v>0</v>
      </c>
      <c r="BG51" s="127" t="str">
        <f t="shared" si="36"/>
        <v>FRENCH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X51" s="5">
        <f t="shared" si="41"/>
        <v>0</v>
      </c>
    </row>
    <row r="52" spans="1:76" ht="18.5" thickBot="1" x14ac:dyDescent="0.45">
      <c r="A52" s="10"/>
      <c r="E52" s="24" t="s">
        <v>94</v>
      </c>
      <c r="F52" s="288" t="s">
        <v>111</v>
      </c>
      <c r="G52" s="290"/>
      <c r="H52" s="288" t="s">
        <v>272</v>
      </c>
      <c r="I52" s="290"/>
      <c r="J52" s="288" t="s">
        <v>280</v>
      </c>
      <c r="K52" s="290"/>
      <c r="L52" s="288" t="s">
        <v>281</v>
      </c>
      <c r="M52" s="290"/>
      <c r="N52" s="288" t="s">
        <v>282</v>
      </c>
      <c r="O52" s="290"/>
      <c r="P52" s="288" t="s">
        <v>283</v>
      </c>
      <c r="Q52" s="290"/>
      <c r="R52" s="288" t="s">
        <v>284</v>
      </c>
      <c r="S52" s="290"/>
      <c r="T52" s="288" t="s">
        <v>285</v>
      </c>
      <c r="U52" s="290"/>
      <c r="V52" s="288" t="s">
        <v>286</v>
      </c>
      <c r="W52" s="290"/>
      <c r="Z52" s="253" t="str">
        <v>PALMER</v>
      </c>
      <c r="AA52" s="250">
        <v>0</v>
      </c>
      <c r="AB52" s="250">
        <v>1000000</v>
      </c>
      <c r="AC52" s="250">
        <f t="shared" si="23"/>
        <v>0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4"/>
        <v>GREHAN</v>
      </c>
      <c r="AK52" s="2">
        <f t="shared" si="24"/>
        <v>0</v>
      </c>
      <c r="AL52">
        <f t="shared" si="34"/>
        <v>1000000</v>
      </c>
      <c r="AM52" s="2">
        <f t="shared" si="25"/>
        <v>0</v>
      </c>
      <c r="AN52">
        <f t="shared" si="35"/>
        <v>1000000</v>
      </c>
      <c r="AO52" s="2">
        <f t="shared" si="26"/>
        <v>0</v>
      </c>
      <c r="AP52">
        <f t="shared" si="27"/>
        <v>1000000</v>
      </c>
      <c r="AQ52" s="2">
        <f t="shared" si="28"/>
        <v>0</v>
      </c>
      <c r="AR52">
        <f t="shared" si="29"/>
        <v>1000000</v>
      </c>
      <c r="AT52" s="2">
        <f t="shared" si="30"/>
        <v>0</v>
      </c>
      <c r="AU52">
        <f t="shared" si="31"/>
        <v>1000000</v>
      </c>
      <c r="AV52" s="2">
        <f t="shared" si="32"/>
        <v>0</v>
      </c>
      <c r="AW52">
        <f t="shared" si="33"/>
        <v>1000000</v>
      </c>
      <c r="BE52" s="5">
        <f>IF($BH23="y",$BE23,IF($BH24="y",$BE24,0))</f>
        <v>0</v>
      </c>
      <c r="BG52" s="127" t="str">
        <f t="shared" si="36"/>
        <v>GIVAN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0</v>
      </c>
      <c r="BN52" s="5">
        <f t="shared" si="40"/>
        <v>0</v>
      </c>
      <c r="BX52" s="5">
        <f t="shared" si="41"/>
        <v>0</v>
      </c>
    </row>
    <row r="53" spans="1:76" ht="13" thickBot="1" x14ac:dyDescent="0.3">
      <c r="D53" s="25"/>
      <c r="E53" s="22"/>
      <c r="F53" s="361">
        <f>'Stage 10'!V7</f>
        <v>0</v>
      </c>
      <c r="G53" s="362"/>
      <c r="H53" s="361">
        <f>'Stage 11'!H53</f>
        <v>0</v>
      </c>
      <c r="I53" s="362"/>
      <c r="J53" s="361">
        <f>'Stage 12'!J53</f>
        <v>0</v>
      </c>
      <c r="K53" s="362"/>
      <c r="L53" s="361">
        <f>'Stage 13'!L53</f>
        <v>0</v>
      </c>
      <c r="M53" s="362"/>
      <c r="N53" s="361">
        <f>'Stage 14'!N53</f>
        <v>0</v>
      </c>
      <c r="O53" s="362"/>
      <c r="P53" s="361">
        <f>'Stage 15'!P53</f>
        <v>0</v>
      </c>
      <c r="Q53" s="362"/>
      <c r="R53" s="361">
        <f>'Stage 16'!R53</f>
        <v>0</v>
      </c>
      <c r="S53" s="362"/>
      <c r="T53" s="361">
        <f>'Stage 17'!T53</f>
        <v>0</v>
      </c>
      <c r="U53" s="362"/>
      <c r="V53" s="361">
        <f>IF($AT5=0,0,IF($AT5="T",$AZ7,$BS4))</f>
        <v>0</v>
      </c>
      <c r="W53" s="362"/>
      <c r="Z53" s="253" t="str">
        <v>PORTER</v>
      </c>
      <c r="AA53" s="250">
        <v>0</v>
      </c>
      <c r="AB53" s="250">
        <v>1000000</v>
      </c>
      <c r="AC53" s="250">
        <f t="shared" si="23"/>
        <v>0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4"/>
        <v>KENNEDY</v>
      </c>
      <c r="AK53" s="2">
        <f t="shared" si="24"/>
        <v>0</v>
      </c>
      <c r="AL53">
        <f t="shared" si="34"/>
        <v>1000000</v>
      </c>
      <c r="AM53" s="2">
        <f t="shared" si="25"/>
        <v>0</v>
      </c>
      <c r="AN53">
        <f t="shared" si="35"/>
        <v>1000000</v>
      </c>
      <c r="AO53" s="2">
        <f t="shared" si="26"/>
        <v>0</v>
      </c>
      <c r="AP53">
        <f t="shared" si="27"/>
        <v>1000000</v>
      </c>
      <c r="AQ53" s="2">
        <f t="shared" si="28"/>
        <v>0</v>
      </c>
      <c r="AR53">
        <f t="shared" si="29"/>
        <v>1000000</v>
      </c>
      <c r="AT53" s="2">
        <f t="shared" si="30"/>
        <v>0</v>
      </c>
      <c r="AU53">
        <f t="shared" si="31"/>
        <v>1000000</v>
      </c>
      <c r="AV53" s="2">
        <f t="shared" si="32"/>
        <v>0</v>
      </c>
      <c r="AW53">
        <f t="shared" si="33"/>
        <v>1000000</v>
      </c>
      <c r="BG53" s="127" t="str">
        <f t="shared" si="36"/>
        <v>GREHAN</v>
      </c>
      <c r="BH53" s="128"/>
      <c r="BI53" s="5">
        <f t="shared" si="37"/>
        <v>0</v>
      </c>
      <c r="BJ53" s="5">
        <f t="shared" si="38"/>
        <v>0</v>
      </c>
      <c r="BK53" s="5">
        <f t="shared" si="39"/>
        <v>0</v>
      </c>
      <c r="BN53" s="5">
        <f t="shared" si="40"/>
        <v>0</v>
      </c>
      <c r="BX53" s="5">
        <f t="shared" si="41"/>
        <v>0</v>
      </c>
    </row>
    <row r="54" spans="1:76" ht="13" thickBot="1" x14ac:dyDescent="0.3">
      <c r="D54" s="25"/>
      <c r="E54" s="22"/>
      <c r="F54" s="361">
        <f>'Stage 10'!V8</f>
        <v>0</v>
      </c>
      <c r="G54" s="362"/>
      <c r="H54" s="361">
        <f>'Stage 11'!H54</f>
        <v>0</v>
      </c>
      <c r="I54" s="362"/>
      <c r="J54" s="361">
        <f>'Stage 12'!J54</f>
        <v>0</v>
      </c>
      <c r="K54" s="362"/>
      <c r="L54" s="361">
        <f>'Stage 13'!L54</f>
        <v>0</v>
      </c>
      <c r="M54" s="362"/>
      <c r="N54" s="361">
        <f>'Stage 14'!N54</f>
        <v>0</v>
      </c>
      <c r="O54" s="362"/>
      <c r="P54" s="361">
        <f>'Stage 15'!P54</f>
        <v>0</v>
      </c>
      <c r="Q54" s="362"/>
      <c r="R54" s="361">
        <f>'Stage 16'!R54</f>
        <v>0</v>
      </c>
      <c r="S54" s="362"/>
      <c r="T54" s="361">
        <f>'Stage 17'!T54</f>
        <v>0</v>
      </c>
      <c r="U54" s="362"/>
      <c r="V54" s="359">
        <f>IF($V53="Transfer",$BA8,$BU3)</f>
        <v>0</v>
      </c>
      <c r="W54" s="360"/>
      <c r="Z54" s="253">
        <v>0</v>
      </c>
      <c r="AA54" s="250">
        <v>0</v>
      </c>
      <c r="AB54" s="250">
        <v>1000000</v>
      </c>
      <c r="AC54" s="250">
        <f t="shared" si="23"/>
        <v>0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4"/>
        <v>MCEVOY</v>
      </c>
      <c r="AK54" s="2">
        <f t="shared" si="24"/>
        <v>0</v>
      </c>
      <c r="AL54">
        <f t="shared" si="34"/>
        <v>1000000</v>
      </c>
      <c r="AM54" s="2">
        <f t="shared" si="25"/>
        <v>0</v>
      </c>
      <c r="AN54">
        <f t="shared" si="35"/>
        <v>1000000</v>
      </c>
      <c r="AO54" s="2">
        <f t="shared" si="26"/>
        <v>0</v>
      </c>
      <c r="AP54">
        <f t="shared" si="27"/>
        <v>1000000</v>
      </c>
      <c r="AQ54" s="2">
        <f t="shared" si="28"/>
        <v>0</v>
      </c>
      <c r="AR54">
        <f t="shared" si="29"/>
        <v>1000000</v>
      </c>
      <c r="AT54" s="2">
        <f t="shared" si="30"/>
        <v>0</v>
      </c>
      <c r="AU54">
        <f t="shared" si="31"/>
        <v>1000000</v>
      </c>
      <c r="AV54" s="2">
        <f t="shared" si="32"/>
        <v>0</v>
      </c>
      <c r="AW54">
        <f t="shared" si="33"/>
        <v>1000000</v>
      </c>
      <c r="BG54" s="127" t="str">
        <f t="shared" si="36"/>
        <v>KENNEDY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0</v>
      </c>
      <c r="BN54" s="5">
        <f t="shared" si="40"/>
        <v>0</v>
      </c>
      <c r="BX54" s="5">
        <f t="shared" si="41"/>
        <v>0</v>
      </c>
    </row>
    <row r="55" spans="1:76" ht="13" thickBot="1" x14ac:dyDescent="0.3">
      <c r="D55" s="25"/>
      <c r="E55" s="23"/>
      <c r="F55" s="288" t="s">
        <v>112</v>
      </c>
      <c r="G55" s="290"/>
      <c r="H55" s="288" t="s">
        <v>112</v>
      </c>
      <c r="I55" s="290"/>
      <c r="J55" s="288" t="s">
        <v>112</v>
      </c>
      <c r="K55" s="290"/>
      <c r="L55" s="288" t="s">
        <v>112</v>
      </c>
      <c r="M55" s="290"/>
      <c r="N55" s="288" t="s">
        <v>112</v>
      </c>
      <c r="O55" s="290"/>
      <c r="P55" s="288" t="s">
        <v>112</v>
      </c>
      <c r="Q55" s="290"/>
      <c r="R55" s="288" t="s">
        <v>112</v>
      </c>
      <c r="S55" s="290"/>
      <c r="T55" s="288" t="s">
        <v>112</v>
      </c>
      <c r="U55" s="290"/>
      <c r="V55" s="288" t="s">
        <v>112</v>
      </c>
      <c r="W55" s="290"/>
      <c r="Z55" s="253">
        <v>0</v>
      </c>
      <c r="AA55" s="250">
        <v>0</v>
      </c>
      <c r="AB55" s="250">
        <v>1000000</v>
      </c>
      <c r="AC55" s="250">
        <f t="shared" si="23"/>
        <v>0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4"/>
        <v>MITCHELL</v>
      </c>
      <c r="AK55" s="2">
        <f t="shared" si="24"/>
        <v>0</v>
      </c>
      <c r="AL55">
        <f t="shared" si="34"/>
        <v>1000000</v>
      </c>
      <c r="AM55" s="2">
        <f t="shared" si="25"/>
        <v>0</v>
      </c>
      <c r="AN55">
        <f t="shared" si="35"/>
        <v>1000000</v>
      </c>
      <c r="AO55" s="2">
        <f t="shared" si="26"/>
        <v>0</v>
      </c>
      <c r="AP55">
        <f t="shared" si="27"/>
        <v>1000000</v>
      </c>
      <c r="AQ55" s="2">
        <f t="shared" si="28"/>
        <v>0</v>
      </c>
      <c r="AR55">
        <f t="shared" si="29"/>
        <v>1000000</v>
      </c>
      <c r="AT55" s="2">
        <f t="shared" si="30"/>
        <v>0</v>
      </c>
      <c r="AU55">
        <f t="shared" si="31"/>
        <v>1000000</v>
      </c>
      <c r="AV55" s="2">
        <f t="shared" si="32"/>
        <v>0</v>
      </c>
      <c r="AW55">
        <f t="shared" si="33"/>
        <v>1000000</v>
      </c>
      <c r="BG55" s="127" t="str">
        <f t="shared" si="36"/>
        <v>MCEVOY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0</v>
      </c>
      <c r="BN55" s="5">
        <f t="shared" si="40"/>
        <v>0</v>
      </c>
      <c r="BX55" s="5">
        <f t="shared" si="41"/>
        <v>0</v>
      </c>
    </row>
    <row r="56" spans="1:76" ht="13" thickBot="1" x14ac:dyDescent="0.3">
      <c r="A56" s="15" t="s">
        <v>113</v>
      </c>
      <c r="B56" s="18" t="s">
        <v>114</v>
      </c>
      <c r="C56" s="16" t="s">
        <v>115</v>
      </c>
      <c r="D56" s="32" t="s">
        <v>116</v>
      </c>
      <c r="E56" s="1" t="s">
        <v>117</v>
      </c>
      <c r="F56" s="115"/>
      <c r="G56" s="116" t="s">
        <v>83</v>
      </c>
      <c r="H56" s="136"/>
      <c r="I56" s="137" t="s">
        <v>83</v>
      </c>
      <c r="J56" s="134"/>
      <c r="K56" s="137" t="s">
        <v>83</v>
      </c>
      <c r="L56" s="134"/>
      <c r="M56" s="137" t="s">
        <v>83</v>
      </c>
      <c r="N56" s="136"/>
      <c r="O56" s="137" t="s">
        <v>83</v>
      </c>
      <c r="P56" s="136"/>
      <c r="Q56" s="137" t="s">
        <v>83</v>
      </c>
      <c r="R56" s="136"/>
      <c r="S56" s="137" t="s">
        <v>83</v>
      </c>
      <c r="T56" s="136"/>
      <c r="U56" s="137" t="s">
        <v>83</v>
      </c>
      <c r="V56" s="136"/>
      <c r="W56" s="137" t="s">
        <v>83</v>
      </c>
      <c r="Z56" s="253">
        <v>0</v>
      </c>
      <c r="AA56" s="250">
        <v>0</v>
      </c>
      <c r="AB56" s="250">
        <v>1000000</v>
      </c>
      <c r="AC56" s="250">
        <f t="shared" si="23"/>
        <v>0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4"/>
        <v>PALMER</v>
      </c>
      <c r="AK56" s="2">
        <f t="shared" si="24"/>
        <v>0</v>
      </c>
      <c r="AL56">
        <f t="shared" si="34"/>
        <v>1000000</v>
      </c>
      <c r="AM56" s="2">
        <f t="shared" si="25"/>
        <v>0</v>
      </c>
      <c r="AN56">
        <f t="shared" si="35"/>
        <v>1000000</v>
      </c>
      <c r="AO56" s="2">
        <f t="shared" si="26"/>
        <v>0</v>
      </c>
      <c r="AP56">
        <f t="shared" si="27"/>
        <v>1000000</v>
      </c>
      <c r="AQ56" s="2">
        <f t="shared" si="28"/>
        <v>0</v>
      </c>
      <c r="AR56">
        <f t="shared" si="29"/>
        <v>1000000</v>
      </c>
      <c r="AT56" s="2">
        <f t="shared" si="30"/>
        <v>0</v>
      </c>
      <c r="AU56">
        <f t="shared" si="31"/>
        <v>1000000</v>
      </c>
      <c r="AV56" s="2">
        <f t="shared" si="32"/>
        <v>0</v>
      </c>
      <c r="AW56">
        <f t="shared" si="33"/>
        <v>1000000</v>
      </c>
      <c r="BG56" s="127" t="str">
        <f t="shared" si="36"/>
        <v>MITCHELL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0</v>
      </c>
      <c r="BN56" s="5">
        <f t="shared" si="40"/>
        <v>0</v>
      </c>
      <c r="BX56" s="5">
        <f t="shared" si="41"/>
        <v>0</v>
      </c>
    </row>
    <row r="57" spans="1:76" ht="13" thickBot="1" x14ac:dyDescent="0.3">
      <c r="A57" s="29" t="str">
        <f>IF('Stage 17'!A57&lt;&gt;0,'Stage 17'!A57,IF(W57&gt;=$M$3,"Elected",IF(BQ8&lt;&gt;0,"Excluded",0)))</f>
        <v>Elected</v>
      </c>
      <c r="B57" s="235">
        <f>'Stage 17'!B57</f>
        <v>1</v>
      </c>
      <c r="C57" s="29" t="str">
        <f>'Verification of Boxes'!J10</f>
        <v>EWING</v>
      </c>
      <c r="D57" s="152" t="str">
        <f>'Verification of Boxes'!K10</f>
        <v>D.U.P.</v>
      </c>
      <c r="E57" s="108">
        <f>'Verification of Boxes'!L10</f>
        <v>1139</v>
      </c>
      <c r="F57" s="71">
        <f>'Stage 10'!V11</f>
        <v>0</v>
      </c>
      <c r="G57" s="135">
        <f>'Stage 10'!W11</f>
        <v>0</v>
      </c>
      <c r="H57" s="71">
        <f>'Stage 11'!H57</f>
        <v>0</v>
      </c>
      <c r="I57" s="135">
        <f>'Stage 11'!I57</f>
        <v>0</v>
      </c>
      <c r="J57" s="71">
        <f>'Stage 12'!J57</f>
        <v>0</v>
      </c>
      <c r="K57" s="135">
        <f>'Stage 12'!K57</f>
        <v>0</v>
      </c>
      <c r="L57" s="71">
        <f>'Stage 13'!L57</f>
        <v>0</v>
      </c>
      <c r="M57" s="135">
        <f>'Stage 13'!M57</f>
        <v>0</v>
      </c>
      <c r="N57" s="71">
        <f>'Stage 14'!N57</f>
        <v>0</v>
      </c>
      <c r="O57" s="135">
        <f>'Stage 14'!O57</f>
        <v>0</v>
      </c>
      <c r="P57" s="71">
        <f>'Stage 15'!P57</f>
        <v>0</v>
      </c>
      <c r="Q57" s="135">
        <f>'Stage 15'!Q57</f>
        <v>0</v>
      </c>
      <c r="R57" s="71">
        <f>'Stage 16'!R57</f>
        <v>0</v>
      </c>
      <c r="S57" s="135">
        <f>'Stage 16'!S57</f>
        <v>0</v>
      </c>
      <c r="T57" s="71">
        <f>'Stage 17'!T57</f>
        <v>0</v>
      </c>
      <c r="U57" s="135">
        <f>'Stage 17'!U57</f>
        <v>0</v>
      </c>
      <c r="V57" s="159">
        <f t="shared" ref="V57:V76" si="42">IF($C57&lt;&gt;0,$BK49,0)</f>
        <v>0</v>
      </c>
      <c r="W57" s="39">
        <f t="shared" ref="W57:W77" si="43">IF(V$54=0,0,U57+V57)</f>
        <v>0</v>
      </c>
      <c r="Z57" s="253">
        <v>0</v>
      </c>
      <c r="AA57" s="250">
        <v>0</v>
      </c>
      <c r="AB57" s="250">
        <v>1000000</v>
      </c>
      <c r="AC57" s="250">
        <f t="shared" si="23"/>
        <v>0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4"/>
        <v>PORTER</v>
      </c>
      <c r="AK57" s="2">
        <f t="shared" si="24"/>
        <v>0</v>
      </c>
      <c r="AL57">
        <f t="shared" si="34"/>
        <v>1000000</v>
      </c>
      <c r="AM57" s="2">
        <f t="shared" si="25"/>
        <v>0</v>
      </c>
      <c r="AN57">
        <f t="shared" si="35"/>
        <v>1000000</v>
      </c>
      <c r="AO57" s="2">
        <f t="shared" si="26"/>
        <v>0</v>
      </c>
      <c r="AP57">
        <f t="shared" si="27"/>
        <v>1000000</v>
      </c>
      <c r="AQ57" s="2">
        <f t="shared" si="28"/>
        <v>0</v>
      </c>
      <c r="AR57">
        <f t="shared" si="29"/>
        <v>1000000</v>
      </c>
      <c r="AT57" s="2">
        <f t="shared" si="30"/>
        <v>0</v>
      </c>
      <c r="AU57">
        <f t="shared" si="31"/>
        <v>1000000</v>
      </c>
      <c r="AV57" s="2">
        <f t="shared" si="32"/>
        <v>0</v>
      </c>
      <c r="AW57">
        <f t="shared" si="33"/>
        <v>1000000</v>
      </c>
      <c r="BG57" s="127" t="str">
        <f t="shared" si="36"/>
        <v>PALMER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X57" s="5">
        <f t="shared" si="41"/>
        <v>0</v>
      </c>
    </row>
    <row r="58" spans="1:76" ht="13" thickBot="1" x14ac:dyDescent="0.3">
      <c r="A58" s="20" t="str">
        <f>IF('Stage 17'!A58&lt;&gt;0,'Stage 17'!A58,IF(W58&gt;=$M$3,"Elected",IF(BQ9&lt;&gt;0,"Excluded",0)))</f>
        <v>Excluded</v>
      </c>
      <c r="B58" s="235">
        <f>'Stage 17'!B58</f>
        <v>0</v>
      </c>
      <c r="C58" s="20" t="str">
        <f>'Verification of Boxes'!J11</f>
        <v>FLYNN</v>
      </c>
      <c r="D58" s="153" t="str">
        <f>'Verification of Boxes'!K11</f>
        <v>Sinn Féin</v>
      </c>
      <c r="E58" s="109">
        <f>'Verification of Boxes'!L11</f>
        <v>493</v>
      </c>
      <c r="F58" s="71">
        <f>'Stage 10'!V12</f>
        <v>0</v>
      </c>
      <c r="G58" s="135">
        <f>'Stage 10'!W12</f>
        <v>0</v>
      </c>
      <c r="H58" s="71">
        <f>'Stage 11'!H58</f>
        <v>0</v>
      </c>
      <c r="I58" s="135">
        <f>'Stage 11'!I58</f>
        <v>0</v>
      </c>
      <c r="J58" s="71">
        <f>'Stage 12'!J58</f>
        <v>0</v>
      </c>
      <c r="K58" s="135">
        <f>'Stage 12'!K58</f>
        <v>0</v>
      </c>
      <c r="L58" s="71">
        <f>'Stage 13'!L58</f>
        <v>0</v>
      </c>
      <c r="M58" s="135">
        <f>'Stage 13'!M58</f>
        <v>0</v>
      </c>
      <c r="N58" s="71">
        <f>'Stage 14'!N58</f>
        <v>0</v>
      </c>
      <c r="O58" s="135">
        <f>'Stage 14'!O58</f>
        <v>0</v>
      </c>
      <c r="P58" s="71">
        <f>'Stage 15'!P58</f>
        <v>0</v>
      </c>
      <c r="Q58" s="135">
        <f>'Stage 15'!Q58</f>
        <v>0</v>
      </c>
      <c r="R58" s="71">
        <f>'Stage 16'!R58</f>
        <v>0</v>
      </c>
      <c r="S58" s="135">
        <f>'Stage 16'!S58</f>
        <v>0</v>
      </c>
      <c r="T58" s="71">
        <f>'Stage 17'!T58</f>
        <v>0</v>
      </c>
      <c r="U58" s="135">
        <f>'Stage 17'!U58</f>
        <v>0</v>
      </c>
      <c r="V58" s="159">
        <f t="shared" si="42"/>
        <v>0</v>
      </c>
      <c r="W58" s="39">
        <f t="shared" si="43"/>
        <v>0</v>
      </c>
      <c r="Z58" s="253">
        <v>0</v>
      </c>
      <c r="AA58" s="250">
        <v>0</v>
      </c>
      <c r="AB58" s="250">
        <v>1000000</v>
      </c>
      <c r="AC58" s="250">
        <f t="shared" si="23"/>
        <v>0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4"/>
        <v>0</v>
      </c>
      <c r="AK58" s="2">
        <f t="shared" si="24"/>
        <v>0</v>
      </c>
      <c r="AL58">
        <f t="shared" si="34"/>
        <v>1000000</v>
      </c>
      <c r="AM58" s="2">
        <f t="shared" si="25"/>
        <v>0</v>
      </c>
      <c r="AN58">
        <f t="shared" si="35"/>
        <v>1000000</v>
      </c>
      <c r="AO58" s="2">
        <f t="shared" si="26"/>
        <v>0</v>
      </c>
      <c r="AP58">
        <f t="shared" si="27"/>
        <v>1000000</v>
      </c>
      <c r="AQ58" s="2">
        <f t="shared" si="28"/>
        <v>0</v>
      </c>
      <c r="AR58">
        <f t="shared" si="29"/>
        <v>1000000</v>
      </c>
      <c r="AT58" s="2">
        <f t="shared" si="30"/>
        <v>0</v>
      </c>
      <c r="AU58">
        <f t="shared" si="31"/>
        <v>1000000</v>
      </c>
      <c r="AV58" s="2">
        <f t="shared" si="32"/>
        <v>0</v>
      </c>
      <c r="AW58">
        <f t="shared" si="33"/>
        <v>1000000</v>
      </c>
      <c r="BG58" s="127" t="str">
        <f t="shared" si="36"/>
        <v>PORTER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X58" s="5">
        <f t="shared" si="41"/>
        <v>0</v>
      </c>
    </row>
    <row r="59" spans="1:76" ht="12.75" customHeight="1" thickBot="1" x14ac:dyDescent="0.3">
      <c r="A59" s="20" t="str">
        <f>IF('Stage 17'!A59&lt;&gt;0,'Stage 17'!A59,IF(W59&gt;=$M$3,"Elected",IF(BQ10&lt;&gt;0,"Excluded",0)))</f>
        <v>Excluded</v>
      </c>
      <c r="B59" s="235">
        <f>'Stage 17'!B59</f>
        <v>0</v>
      </c>
      <c r="C59" s="20" t="str">
        <f>'Verification of Boxes'!J12</f>
        <v>FRENCH</v>
      </c>
      <c r="D59" s="153" t="str">
        <f>'Verification of Boxes'!K12</f>
        <v xml:space="preserve">SDLP </v>
      </c>
      <c r="E59" s="109">
        <f>'Verification of Boxes'!L12</f>
        <v>472</v>
      </c>
      <c r="F59" s="71">
        <f>'Stage 10'!V13</f>
        <v>0</v>
      </c>
      <c r="G59" s="135">
        <f>'Stage 10'!W13</f>
        <v>0</v>
      </c>
      <c r="H59" s="71">
        <f>'Stage 11'!H59</f>
        <v>0</v>
      </c>
      <c r="I59" s="135">
        <f>'Stage 11'!I59</f>
        <v>0</v>
      </c>
      <c r="J59" s="71">
        <f>'Stage 12'!J59</f>
        <v>0</v>
      </c>
      <c r="K59" s="135">
        <f>'Stage 12'!K59</f>
        <v>0</v>
      </c>
      <c r="L59" s="71">
        <f>'Stage 13'!L59</f>
        <v>0</v>
      </c>
      <c r="M59" s="135">
        <f>'Stage 13'!M59</f>
        <v>0</v>
      </c>
      <c r="N59" s="71">
        <f>'Stage 14'!N59</f>
        <v>0</v>
      </c>
      <c r="O59" s="135">
        <f>'Stage 14'!O59</f>
        <v>0</v>
      </c>
      <c r="P59" s="71">
        <f>'Stage 15'!P59</f>
        <v>0</v>
      </c>
      <c r="Q59" s="135">
        <f>'Stage 15'!Q59</f>
        <v>0</v>
      </c>
      <c r="R59" s="71">
        <f>'Stage 16'!R59</f>
        <v>0</v>
      </c>
      <c r="S59" s="135">
        <f>'Stage 16'!S59</f>
        <v>0</v>
      </c>
      <c r="T59" s="71">
        <f>'Stage 17'!T59</f>
        <v>0</v>
      </c>
      <c r="U59" s="135">
        <f>'Stage 17'!U59</f>
        <v>0</v>
      </c>
      <c r="V59" s="159">
        <f t="shared" si="42"/>
        <v>0</v>
      </c>
      <c r="W59" s="39">
        <f t="shared" si="43"/>
        <v>0</v>
      </c>
      <c r="Z59" s="253">
        <v>0</v>
      </c>
      <c r="AA59" s="250">
        <v>0</v>
      </c>
      <c r="AB59" s="250">
        <v>1000000</v>
      </c>
      <c r="AC59" s="250">
        <f t="shared" si="23"/>
        <v>0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4"/>
        <v>0</v>
      </c>
      <c r="AK59" s="2">
        <f t="shared" si="24"/>
        <v>0</v>
      </c>
      <c r="AL59">
        <f t="shared" si="34"/>
        <v>1000000</v>
      </c>
      <c r="AM59" s="2">
        <f t="shared" si="25"/>
        <v>0</v>
      </c>
      <c r="AN59">
        <f t="shared" si="35"/>
        <v>1000000</v>
      </c>
      <c r="AO59" s="2">
        <f t="shared" si="26"/>
        <v>0</v>
      </c>
      <c r="AP59">
        <f t="shared" si="27"/>
        <v>1000000</v>
      </c>
      <c r="AQ59" s="2">
        <f t="shared" si="28"/>
        <v>0</v>
      </c>
      <c r="AR59">
        <f t="shared" si="29"/>
        <v>1000000</v>
      </c>
      <c r="AT59" s="2">
        <f t="shared" si="30"/>
        <v>0</v>
      </c>
      <c r="AU59">
        <f t="shared" si="31"/>
        <v>1000000</v>
      </c>
      <c r="AV59" s="2">
        <f t="shared" si="32"/>
        <v>0</v>
      </c>
      <c r="AW59">
        <f t="shared" si="33"/>
        <v>1000000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X59" s="5">
        <f t="shared" si="41"/>
        <v>0</v>
      </c>
    </row>
    <row r="60" spans="1:76" ht="12.75" customHeight="1" thickBot="1" x14ac:dyDescent="0.3">
      <c r="A60" s="20" t="str">
        <f>IF('Stage 17'!A60&lt;&gt;0,'Stage 17'!A60,IF(W60&gt;=$M$3,"Elected",IF(BQ11&lt;&gt;0,"Excluded",0)))</f>
        <v>Elected</v>
      </c>
      <c r="B60" s="235">
        <f>'Stage 17'!B60</f>
        <v>3</v>
      </c>
      <c r="C60" s="20" t="str">
        <f>'Verification of Boxes'!J13</f>
        <v>GIVAN</v>
      </c>
      <c r="D60" s="153" t="str">
        <f>'Verification of Boxes'!K13</f>
        <v>D.U.P.</v>
      </c>
      <c r="E60" s="109">
        <f>'Verification of Boxes'!L13</f>
        <v>1038</v>
      </c>
      <c r="F60" s="71">
        <f>'Stage 10'!V14</f>
        <v>0</v>
      </c>
      <c r="G60" s="135">
        <f>'Stage 10'!W14</f>
        <v>0</v>
      </c>
      <c r="H60" s="71">
        <f>'Stage 11'!H60</f>
        <v>0</v>
      </c>
      <c r="I60" s="135">
        <f>'Stage 11'!I60</f>
        <v>0</v>
      </c>
      <c r="J60" s="71">
        <f>'Stage 12'!J60</f>
        <v>0</v>
      </c>
      <c r="K60" s="135">
        <f>'Stage 12'!K60</f>
        <v>0</v>
      </c>
      <c r="L60" s="71">
        <f>'Stage 13'!L60</f>
        <v>0</v>
      </c>
      <c r="M60" s="135">
        <f>'Stage 13'!M60</f>
        <v>0</v>
      </c>
      <c r="N60" s="71">
        <f>'Stage 14'!N60</f>
        <v>0</v>
      </c>
      <c r="O60" s="135">
        <f>'Stage 14'!O60</f>
        <v>0</v>
      </c>
      <c r="P60" s="71">
        <f>'Stage 15'!P60</f>
        <v>0</v>
      </c>
      <c r="Q60" s="135">
        <f>'Stage 15'!Q60</f>
        <v>0</v>
      </c>
      <c r="R60" s="71">
        <f>'Stage 16'!R60</f>
        <v>0</v>
      </c>
      <c r="S60" s="135">
        <f>'Stage 16'!S60</f>
        <v>0</v>
      </c>
      <c r="T60" s="71">
        <f>'Stage 17'!T60</f>
        <v>0</v>
      </c>
      <c r="U60" s="135">
        <f>'Stage 17'!U60</f>
        <v>0</v>
      </c>
      <c r="V60" s="159">
        <f t="shared" si="42"/>
        <v>0</v>
      </c>
      <c r="W60" s="39">
        <f t="shared" si="43"/>
        <v>0</v>
      </c>
      <c r="Z60" s="253">
        <v>0</v>
      </c>
      <c r="AA60" s="250">
        <v>0</v>
      </c>
      <c r="AB60" s="250">
        <v>1000000</v>
      </c>
      <c r="AC60" s="250">
        <f t="shared" si="23"/>
        <v>0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4"/>
        <v>0</v>
      </c>
      <c r="AK60" s="2">
        <f t="shared" si="24"/>
        <v>0</v>
      </c>
      <c r="AL60">
        <f t="shared" si="34"/>
        <v>1000000</v>
      </c>
      <c r="AM60" s="2">
        <f t="shared" si="25"/>
        <v>0</v>
      </c>
      <c r="AN60">
        <f t="shared" si="35"/>
        <v>1000000</v>
      </c>
      <c r="AO60" s="2">
        <f t="shared" si="26"/>
        <v>0</v>
      </c>
      <c r="AP60">
        <f t="shared" si="27"/>
        <v>1000000</v>
      </c>
      <c r="AQ60" s="2">
        <f t="shared" si="28"/>
        <v>0</v>
      </c>
      <c r="AR60">
        <f t="shared" si="29"/>
        <v>1000000</v>
      </c>
      <c r="AT60" s="2">
        <f t="shared" si="30"/>
        <v>0</v>
      </c>
      <c r="AU60">
        <f t="shared" si="31"/>
        <v>1000000</v>
      </c>
      <c r="AV60" s="2">
        <f t="shared" si="32"/>
        <v>0</v>
      </c>
      <c r="AW60">
        <f t="shared" si="33"/>
        <v>1000000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X60" s="5">
        <f t="shared" si="41"/>
        <v>0</v>
      </c>
    </row>
    <row r="61" spans="1:76" ht="13" thickBot="1" x14ac:dyDescent="0.3">
      <c r="A61" s="20" t="str">
        <f>IF('Stage 17'!A61&lt;&gt;0,'Stage 17'!A61,IF(W61&gt;=$M$3,"Elected",IF(BQ12&lt;&gt;0,"Excluded",0)))</f>
        <v>Elected</v>
      </c>
      <c r="B61" s="235">
        <f>'Stage 17'!B61</f>
        <v>2</v>
      </c>
      <c r="C61" s="20" t="str">
        <f>'Verification of Boxes'!J14</f>
        <v>GREHAN</v>
      </c>
      <c r="D61" s="153" t="str">
        <f>'Verification of Boxes'!K14</f>
        <v>Alliance Party</v>
      </c>
      <c r="E61" s="109">
        <f>'Verification of Boxes'!L14</f>
        <v>1111</v>
      </c>
      <c r="F61" s="71">
        <f>'Stage 10'!V15</f>
        <v>0</v>
      </c>
      <c r="G61" s="135">
        <f>'Stage 10'!W15</f>
        <v>0</v>
      </c>
      <c r="H61" s="71">
        <f>'Stage 11'!H61</f>
        <v>0</v>
      </c>
      <c r="I61" s="135">
        <f>'Stage 11'!I61</f>
        <v>0</v>
      </c>
      <c r="J61" s="71">
        <f>'Stage 12'!J61</f>
        <v>0</v>
      </c>
      <c r="K61" s="135">
        <f>'Stage 12'!K61</f>
        <v>0</v>
      </c>
      <c r="L61" s="71">
        <f>'Stage 13'!L61</f>
        <v>0</v>
      </c>
      <c r="M61" s="135">
        <f>'Stage 13'!M61</f>
        <v>0</v>
      </c>
      <c r="N61" s="71">
        <f>'Stage 14'!N61</f>
        <v>0</v>
      </c>
      <c r="O61" s="135">
        <f>'Stage 14'!O61</f>
        <v>0</v>
      </c>
      <c r="P61" s="71">
        <f>'Stage 15'!P61</f>
        <v>0</v>
      </c>
      <c r="Q61" s="135">
        <f>'Stage 15'!Q61</f>
        <v>0</v>
      </c>
      <c r="R61" s="71">
        <f>'Stage 16'!R61</f>
        <v>0</v>
      </c>
      <c r="S61" s="135">
        <f>'Stage 16'!S61</f>
        <v>0</v>
      </c>
      <c r="T61" s="71">
        <f>'Stage 17'!T61</f>
        <v>0</v>
      </c>
      <c r="U61" s="135">
        <f>'Stage 17'!U61</f>
        <v>0</v>
      </c>
      <c r="V61" s="159">
        <f t="shared" si="42"/>
        <v>0</v>
      </c>
      <c r="W61" s="39">
        <f t="shared" si="43"/>
        <v>0</v>
      </c>
      <c r="Z61" s="253">
        <v>0</v>
      </c>
      <c r="AA61" s="250">
        <v>0</v>
      </c>
      <c r="AB61" s="250">
        <v>1000000</v>
      </c>
      <c r="AC61" s="250">
        <f t="shared" si="23"/>
        <v>0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4"/>
        <v>0</v>
      </c>
      <c r="AK61" s="2">
        <f t="shared" si="24"/>
        <v>0</v>
      </c>
      <c r="AL61">
        <f t="shared" si="34"/>
        <v>1000000</v>
      </c>
      <c r="AM61" s="2">
        <f t="shared" si="25"/>
        <v>0</v>
      </c>
      <c r="AN61">
        <f t="shared" si="35"/>
        <v>1000000</v>
      </c>
      <c r="AO61" s="2">
        <f t="shared" si="26"/>
        <v>0</v>
      </c>
      <c r="AP61">
        <f t="shared" si="27"/>
        <v>1000000</v>
      </c>
      <c r="AQ61" s="2">
        <f t="shared" si="28"/>
        <v>0</v>
      </c>
      <c r="AR61">
        <f t="shared" si="29"/>
        <v>1000000</v>
      </c>
      <c r="AT61" s="2">
        <f t="shared" si="30"/>
        <v>0</v>
      </c>
      <c r="AU61">
        <f t="shared" si="31"/>
        <v>1000000</v>
      </c>
      <c r="AV61" s="2">
        <f t="shared" si="32"/>
        <v>0</v>
      </c>
      <c r="AW61">
        <f t="shared" si="33"/>
        <v>1000000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X61" s="5">
        <f t="shared" si="41"/>
        <v>0</v>
      </c>
    </row>
    <row r="62" spans="1:76" ht="13" thickBot="1" x14ac:dyDescent="0.3">
      <c r="A62" s="20" t="str">
        <f>IF('Stage 17'!A62&lt;&gt;0,'Stage 17'!A62,IF(W62&gt;=$M$3,"Elected",IF(BQ13&lt;&gt;0,"Excluded",0)))</f>
        <v>Elected</v>
      </c>
      <c r="B62" s="235">
        <f>'Stage 17'!B62</f>
        <v>4</v>
      </c>
      <c r="C62" s="20" t="str">
        <f>'Verification of Boxes'!J15</f>
        <v>KENNEDY</v>
      </c>
      <c r="D62" s="153" t="str">
        <f>'Verification of Boxes'!K15</f>
        <v>Alliance Party</v>
      </c>
      <c r="E62" s="109">
        <f>'Verification of Boxes'!L15</f>
        <v>674</v>
      </c>
      <c r="F62" s="71">
        <f>'Stage 10'!V16</f>
        <v>0</v>
      </c>
      <c r="G62" s="135">
        <f>'Stage 10'!W16</f>
        <v>0</v>
      </c>
      <c r="H62" s="71">
        <f>'Stage 11'!H62</f>
        <v>0</v>
      </c>
      <c r="I62" s="135">
        <f>'Stage 11'!I62</f>
        <v>0</v>
      </c>
      <c r="J62" s="71">
        <f>'Stage 12'!J62</f>
        <v>0</v>
      </c>
      <c r="K62" s="135">
        <f>'Stage 12'!K62</f>
        <v>0</v>
      </c>
      <c r="L62" s="71">
        <f>'Stage 13'!L62</f>
        <v>0</v>
      </c>
      <c r="M62" s="135">
        <f>'Stage 13'!M62</f>
        <v>0</v>
      </c>
      <c r="N62" s="71">
        <f>'Stage 14'!N62</f>
        <v>0</v>
      </c>
      <c r="O62" s="135">
        <f>'Stage 14'!O62</f>
        <v>0</v>
      </c>
      <c r="P62" s="71">
        <f>'Stage 15'!P62</f>
        <v>0</v>
      </c>
      <c r="Q62" s="135">
        <f>'Stage 15'!Q62</f>
        <v>0</v>
      </c>
      <c r="R62" s="71">
        <f>'Stage 16'!R62</f>
        <v>0</v>
      </c>
      <c r="S62" s="135">
        <f>'Stage 16'!S62</f>
        <v>0</v>
      </c>
      <c r="T62" s="71">
        <f>'Stage 17'!T62</f>
        <v>0</v>
      </c>
      <c r="U62" s="135">
        <f>'Stage 17'!U62</f>
        <v>0</v>
      </c>
      <c r="V62" s="159">
        <f t="shared" si="42"/>
        <v>0</v>
      </c>
      <c r="W62" s="39">
        <f t="shared" si="43"/>
        <v>0</v>
      </c>
      <c r="Z62" s="253">
        <v>0</v>
      </c>
      <c r="AA62" s="250">
        <v>0</v>
      </c>
      <c r="AB62" s="250">
        <v>1000000</v>
      </c>
      <c r="AC62" s="250">
        <f t="shared" si="23"/>
        <v>0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4"/>
        <v>0</v>
      </c>
      <c r="AK62" s="2">
        <f t="shared" si="24"/>
        <v>0</v>
      </c>
      <c r="AL62">
        <f t="shared" si="34"/>
        <v>1000000</v>
      </c>
      <c r="AM62" s="2">
        <f t="shared" si="25"/>
        <v>0</v>
      </c>
      <c r="AN62">
        <f t="shared" si="35"/>
        <v>1000000</v>
      </c>
      <c r="AO62" s="2">
        <f t="shared" si="26"/>
        <v>0</v>
      </c>
      <c r="AP62">
        <f t="shared" si="27"/>
        <v>1000000</v>
      </c>
      <c r="AQ62" s="2">
        <f t="shared" si="28"/>
        <v>0</v>
      </c>
      <c r="AR62">
        <f t="shared" si="29"/>
        <v>1000000</v>
      </c>
      <c r="AT62" s="2">
        <f t="shared" si="30"/>
        <v>0</v>
      </c>
      <c r="AU62">
        <f t="shared" si="31"/>
        <v>1000000</v>
      </c>
      <c r="AV62" s="2">
        <f t="shared" si="32"/>
        <v>0</v>
      </c>
      <c r="AW62">
        <f t="shared" si="33"/>
        <v>1000000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X62" s="5">
        <f t="shared" si="41"/>
        <v>0</v>
      </c>
    </row>
    <row r="63" spans="1:76" ht="13.5" customHeight="1" thickBot="1" x14ac:dyDescent="0.3">
      <c r="A63" s="20" t="str">
        <f>IF('Stage 17'!A63&lt;&gt;0,'Stage 17'!A63,IF(W63&gt;=$M$3,"Elected",IF(BQ14&lt;&gt;0,"Excluded",0)))</f>
        <v>Excluded</v>
      </c>
      <c r="B63" s="235">
        <f>'Stage 17'!B63</f>
        <v>0</v>
      </c>
      <c r="C63" s="20" t="str">
        <f>'Verification of Boxes'!J16</f>
        <v>MCEVOY</v>
      </c>
      <c r="D63" s="153" t="str">
        <f>'Verification of Boxes'!K16</f>
        <v xml:space="preserve">TUV </v>
      </c>
      <c r="E63" s="109">
        <f>'Verification of Boxes'!L16</f>
        <v>387</v>
      </c>
      <c r="F63" s="71">
        <f>'Stage 10'!V17</f>
        <v>0</v>
      </c>
      <c r="G63" s="135">
        <f>'Stage 10'!W17</f>
        <v>0</v>
      </c>
      <c r="H63" s="71">
        <f>'Stage 11'!H63</f>
        <v>0</v>
      </c>
      <c r="I63" s="135">
        <f>'Stage 11'!I63</f>
        <v>0</v>
      </c>
      <c r="J63" s="71">
        <f>'Stage 12'!J63</f>
        <v>0</v>
      </c>
      <c r="K63" s="135">
        <f>'Stage 12'!K63</f>
        <v>0</v>
      </c>
      <c r="L63" s="71">
        <f>'Stage 13'!L63</f>
        <v>0</v>
      </c>
      <c r="M63" s="135">
        <f>'Stage 13'!M63</f>
        <v>0</v>
      </c>
      <c r="N63" s="71">
        <f>'Stage 14'!N63</f>
        <v>0</v>
      </c>
      <c r="O63" s="135">
        <f>'Stage 14'!O63</f>
        <v>0</v>
      </c>
      <c r="P63" s="71">
        <f>'Stage 15'!P63</f>
        <v>0</v>
      </c>
      <c r="Q63" s="135">
        <f>'Stage 15'!Q63</f>
        <v>0</v>
      </c>
      <c r="R63" s="71">
        <f>'Stage 16'!R63</f>
        <v>0</v>
      </c>
      <c r="S63" s="135">
        <f>'Stage 16'!S63</f>
        <v>0</v>
      </c>
      <c r="T63" s="71">
        <f>'Stage 17'!T63</f>
        <v>0</v>
      </c>
      <c r="U63" s="135">
        <f>'Stage 17'!U63</f>
        <v>0</v>
      </c>
      <c r="V63" s="159">
        <f t="shared" si="42"/>
        <v>0</v>
      </c>
      <c r="W63" s="39">
        <f t="shared" si="43"/>
        <v>0</v>
      </c>
      <c r="Z63" s="253">
        <v>0</v>
      </c>
      <c r="AA63" s="250">
        <v>0</v>
      </c>
      <c r="AB63" s="250">
        <v>1000000</v>
      </c>
      <c r="AC63" s="250">
        <f t="shared" si="23"/>
        <v>0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4"/>
        <v>0</v>
      </c>
      <c r="AK63" s="2">
        <f t="shared" si="24"/>
        <v>0</v>
      </c>
      <c r="AL63">
        <f t="shared" si="34"/>
        <v>1000000</v>
      </c>
      <c r="AM63" s="2">
        <f t="shared" si="25"/>
        <v>0</v>
      </c>
      <c r="AN63">
        <f t="shared" si="35"/>
        <v>1000000</v>
      </c>
      <c r="AO63" s="2">
        <f t="shared" si="26"/>
        <v>0</v>
      </c>
      <c r="AP63">
        <f t="shared" si="27"/>
        <v>1000000</v>
      </c>
      <c r="AQ63" s="2">
        <f t="shared" si="28"/>
        <v>0</v>
      </c>
      <c r="AR63">
        <f t="shared" si="29"/>
        <v>1000000</v>
      </c>
      <c r="AT63" s="2">
        <f t="shared" si="30"/>
        <v>0</v>
      </c>
      <c r="AU63">
        <f t="shared" si="31"/>
        <v>1000000</v>
      </c>
      <c r="AV63" s="2">
        <f t="shared" si="32"/>
        <v>0</v>
      </c>
      <c r="AW63">
        <f t="shared" si="33"/>
        <v>1000000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X63" s="5">
        <f t="shared" si="41"/>
        <v>0</v>
      </c>
    </row>
    <row r="64" spans="1:76" ht="15" customHeight="1" thickBot="1" x14ac:dyDescent="0.3">
      <c r="A64" s="20">
        <f>IF('Stage 17'!A64&lt;&gt;0,'Stage 17'!A64,IF(W64&gt;=$M$3,"Elected",IF(BQ15&lt;&gt;0,"Excluded",0)))</f>
        <v>0</v>
      </c>
      <c r="B64" s="235">
        <f>'Stage 17'!B64</f>
        <v>5</v>
      </c>
      <c r="C64" s="20" t="str">
        <f>'Verification of Boxes'!J17</f>
        <v>MITCHELL</v>
      </c>
      <c r="D64" s="153" t="str">
        <f>'Verification of Boxes'!K17</f>
        <v>UUP</v>
      </c>
      <c r="E64" s="109">
        <f>'Verification of Boxes'!L17</f>
        <v>870</v>
      </c>
      <c r="F64" s="71">
        <f>'Stage 10'!V18</f>
        <v>0</v>
      </c>
      <c r="G64" s="135">
        <f>'Stage 10'!W18</f>
        <v>0</v>
      </c>
      <c r="H64" s="71">
        <f>'Stage 11'!H64</f>
        <v>0</v>
      </c>
      <c r="I64" s="135">
        <f>'Stage 11'!I64</f>
        <v>0</v>
      </c>
      <c r="J64" s="71">
        <f>'Stage 12'!J64</f>
        <v>0</v>
      </c>
      <c r="K64" s="135">
        <f>'Stage 12'!K64</f>
        <v>0</v>
      </c>
      <c r="L64" s="71">
        <f>'Stage 13'!L64</f>
        <v>0</v>
      </c>
      <c r="M64" s="135">
        <f>'Stage 13'!M64</f>
        <v>0</v>
      </c>
      <c r="N64" s="71">
        <f>'Stage 14'!N64</f>
        <v>0</v>
      </c>
      <c r="O64" s="135">
        <f>'Stage 14'!O64</f>
        <v>0</v>
      </c>
      <c r="P64" s="71">
        <f>'Stage 15'!P64</f>
        <v>0</v>
      </c>
      <c r="Q64" s="135">
        <f>'Stage 15'!Q64</f>
        <v>0</v>
      </c>
      <c r="R64" s="71">
        <f>'Stage 16'!R64</f>
        <v>0</v>
      </c>
      <c r="S64" s="135">
        <f>'Stage 16'!S64</f>
        <v>0</v>
      </c>
      <c r="T64" s="71">
        <f>'Stage 17'!T64</f>
        <v>0</v>
      </c>
      <c r="U64" s="135">
        <f>'Stage 17'!U64</f>
        <v>0</v>
      </c>
      <c r="V64" s="159">
        <f t="shared" si="42"/>
        <v>0</v>
      </c>
      <c r="W64" s="39">
        <f t="shared" si="43"/>
        <v>0</v>
      </c>
      <c r="AJ64">
        <f t="shared" ref="AJ64:AK67" si="44">Z30</f>
        <v>0</v>
      </c>
      <c r="AK64" s="2">
        <f t="shared" si="44"/>
        <v>0</v>
      </c>
      <c r="AL64">
        <f t="shared" si="34"/>
        <v>1000000</v>
      </c>
      <c r="AM64" s="2">
        <f t="shared" si="25"/>
        <v>0</v>
      </c>
      <c r="AN64">
        <f t="shared" si="35"/>
        <v>1000000</v>
      </c>
      <c r="AO64" s="2">
        <f t="shared" si="26"/>
        <v>0</v>
      </c>
      <c r="AP64">
        <f t="shared" si="27"/>
        <v>1000000</v>
      </c>
      <c r="AQ64" s="2">
        <f t="shared" si="28"/>
        <v>0</v>
      </c>
      <c r="AR64">
        <f t="shared" si="29"/>
        <v>1000000</v>
      </c>
      <c r="AT64" s="2">
        <f t="shared" si="30"/>
        <v>0</v>
      </c>
      <c r="AU64">
        <f t="shared" si="31"/>
        <v>1000000</v>
      </c>
      <c r="AV64" s="2">
        <f t="shared" si="32"/>
        <v>0</v>
      </c>
      <c r="AW64">
        <f t="shared" si="33"/>
        <v>1000000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X64" s="5">
        <f t="shared" si="41"/>
        <v>0</v>
      </c>
    </row>
    <row r="65" spans="1:76" ht="13" thickBot="1" x14ac:dyDescent="0.3">
      <c r="A65" s="20" t="str">
        <f>IF('Stage 17'!A65&lt;&gt;0,'Stage 17'!A65,IF(W65&gt;=$M$3,"Elected",IF(BQ16&lt;&gt;0,"Excluded",0)))</f>
        <v>Excluded</v>
      </c>
      <c r="B65" s="235">
        <f>'Stage 17'!B65</f>
        <v>0</v>
      </c>
      <c r="C65" s="20" t="str">
        <f>'Verification of Boxes'!J18</f>
        <v>PALMER</v>
      </c>
      <c r="D65" s="153" t="str">
        <f>'Verification of Boxes'!K18</f>
        <v>UUP</v>
      </c>
      <c r="E65" s="109">
        <f>'Verification of Boxes'!L18</f>
        <v>625</v>
      </c>
      <c r="F65" s="71">
        <f>'Stage 10'!V19</f>
        <v>0</v>
      </c>
      <c r="G65" s="135">
        <f>'Stage 10'!W19</f>
        <v>0</v>
      </c>
      <c r="H65" s="71">
        <f>'Stage 11'!H65</f>
        <v>0</v>
      </c>
      <c r="I65" s="135">
        <f>'Stage 11'!I65</f>
        <v>0</v>
      </c>
      <c r="J65" s="71">
        <f>'Stage 12'!J65</f>
        <v>0</v>
      </c>
      <c r="K65" s="135">
        <f>'Stage 12'!K65</f>
        <v>0</v>
      </c>
      <c r="L65" s="71">
        <f>'Stage 13'!L65</f>
        <v>0</v>
      </c>
      <c r="M65" s="135">
        <f>'Stage 13'!M65</f>
        <v>0</v>
      </c>
      <c r="N65" s="71">
        <f>'Stage 14'!N65</f>
        <v>0</v>
      </c>
      <c r="O65" s="135">
        <f>'Stage 14'!O65</f>
        <v>0</v>
      </c>
      <c r="P65" s="71">
        <f>'Stage 15'!P65</f>
        <v>0</v>
      </c>
      <c r="Q65" s="135">
        <f>'Stage 15'!Q65</f>
        <v>0</v>
      </c>
      <c r="R65" s="71">
        <f>'Stage 16'!R65</f>
        <v>0</v>
      </c>
      <c r="S65" s="135">
        <f>'Stage 16'!S65</f>
        <v>0</v>
      </c>
      <c r="T65" s="71">
        <f>'Stage 17'!T65</f>
        <v>0</v>
      </c>
      <c r="U65" s="135">
        <f>'Stage 17'!U65</f>
        <v>0</v>
      </c>
      <c r="V65" s="159">
        <f t="shared" si="42"/>
        <v>0</v>
      </c>
      <c r="W65" s="39">
        <f t="shared" si="43"/>
        <v>0</v>
      </c>
      <c r="AJ65">
        <f t="shared" si="44"/>
        <v>0</v>
      </c>
      <c r="AK65" s="2">
        <f t="shared" si="44"/>
        <v>0</v>
      </c>
      <c r="AL65">
        <f t="shared" si="34"/>
        <v>1000000</v>
      </c>
      <c r="AM65" s="2">
        <f t="shared" si="25"/>
        <v>0</v>
      </c>
      <c r="AN65">
        <f t="shared" si="35"/>
        <v>1000000</v>
      </c>
      <c r="AO65" s="2">
        <f t="shared" si="26"/>
        <v>0</v>
      </c>
      <c r="AP65">
        <f t="shared" si="27"/>
        <v>1000000</v>
      </c>
      <c r="AQ65" s="2">
        <f t="shared" si="28"/>
        <v>0</v>
      </c>
      <c r="AR65">
        <f t="shared" si="29"/>
        <v>1000000</v>
      </c>
      <c r="AT65" s="2">
        <f t="shared" si="30"/>
        <v>0</v>
      </c>
      <c r="AU65">
        <f t="shared" si="31"/>
        <v>1000000</v>
      </c>
      <c r="AV65" s="2">
        <f t="shared" si="32"/>
        <v>0</v>
      </c>
      <c r="AW65">
        <f t="shared" si="33"/>
        <v>1000000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X65" s="5">
        <f t="shared" si="41"/>
        <v>0</v>
      </c>
    </row>
    <row r="66" spans="1:76" ht="14.25" customHeight="1" thickBot="1" x14ac:dyDescent="0.3">
      <c r="A66" s="20">
        <f>IF('Stage 17'!A66&lt;&gt;0,'Stage 17'!A66,IF(W66&gt;=$M$3,"Elected",IF(BQ17&lt;&gt;0,"Excluded",0)))</f>
        <v>0</v>
      </c>
      <c r="B66" s="235">
        <f>'Stage 17'!B66</f>
        <v>6</v>
      </c>
      <c r="C66" s="20" t="str">
        <f>'Verification of Boxes'!J19</f>
        <v>PORTER</v>
      </c>
      <c r="D66" s="153" t="str">
        <f>'Verification of Boxes'!K19</f>
        <v>D.U.P.</v>
      </c>
      <c r="E66" s="109">
        <f>'Verification of Boxes'!L19</f>
        <v>687</v>
      </c>
      <c r="F66" s="71">
        <f>'Stage 10'!V20</f>
        <v>0</v>
      </c>
      <c r="G66" s="135">
        <f>'Stage 10'!W20</f>
        <v>0</v>
      </c>
      <c r="H66" s="71">
        <f>'Stage 11'!H66</f>
        <v>0</v>
      </c>
      <c r="I66" s="135">
        <f>'Stage 11'!I66</f>
        <v>0</v>
      </c>
      <c r="J66" s="71">
        <f>'Stage 12'!J66</f>
        <v>0</v>
      </c>
      <c r="K66" s="135">
        <f>'Stage 12'!K66</f>
        <v>0</v>
      </c>
      <c r="L66" s="71">
        <f>'Stage 13'!L66</f>
        <v>0</v>
      </c>
      <c r="M66" s="135">
        <f>'Stage 13'!M66</f>
        <v>0</v>
      </c>
      <c r="N66" s="71">
        <f>'Stage 14'!N66</f>
        <v>0</v>
      </c>
      <c r="O66" s="135">
        <f>'Stage 14'!O66</f>
        <v>0</v>
      </c>
      <c r="P66" s="71">
        <f>'Stage 15'!P66</f>
        <v>0</v>
      </c>
      <c r="Q66" s="135">
        <f>'Stage 15'!Q66</f>
        <v>0</v>
      </c>
      <c r="R66" s="71">
        <f>'Stage 16'!R66</f>
        <v>0</v>
      </c>
      <c r="S66" s="135">
        <f>'Stage 16'!S66</f>
        <v>0</v>
      </c>
      <c r="T66" s="71">
        <f>'Stage 17'!T66</f>
        <v>0</v>
      </c>
      <c r="U66" s="135">
        <f>'Stage 17'!U66</f>
        <v>0</v>
      </c>
      <c r="V66" s="159">
        <f t="shared" si="42"/>
        <v>0</v>
      </c>
      <c r="W66" s="39">
        <f t="shared" si="43"/>
        <v>0</v>
      </c>
      <c r="AJ66">
        <f t="shared" si="44"/>
        <v>0</v>
      </c>
      <c r="AK66" s="2">
        <f t="shared" si="44"/>
        <v>0</v>
      </c>
      <c r="AL66">
        <f t="shared" si="34"/>
        <v>1000000</v>
      </c>
      <c r="AM66" s="2">
        <f t="shared" si="25"/>
        <v>0</v>
      </c>
      <c r="AN66">
        <f t="shared" si="35"/>
        <v>1000000</v>
      </c>
      <c r="AO66" s="2">
        <f t="shared" si="26"/>
        <v>0</v>
      </c>
      <c r="AP66">
        <f t="shared" si="27"/>
        <v>1000000</v>
      </c>
      <c r="AQ66" s="2">
        <f t="shared" si="28"/>
        <v>0</v>
      </c>
      <c r="AR66">
        <f t="shared" si="29"/>
        <v>1000000</v>
      </c>
      <c r="AT66" s="2">
        <f t="shared" si="30"/>
        <v>0</v>
      </c>
      <c r="AU66">
        <f t="shared" si="31"/>
        <v>1000000</v>
      </c>
      <c r="AV66" s="2">
        <f t="shared" si="32"/>
        <v>0</v>
      </c>
      <c r="AW66">
        <f t="shared" si="33"/>
        <v>1000000</v>
      </c>
      <c r="BG66" s="127">
        <f t="shared" si="36"/>
        <v>0</v>
      </c>
      <c r="BH66" s="128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X66" s="5">
        <f t="shared" si="41"/>
        <v>0</v>
      </c>
    </row>
    <row r="67" spans="1:76" ht="13" thickBot="1" x14ac:dyDescent="0.3">
      <c r="A67" s="20">
        <f>IF('Stage 17'!A67&lt;&gt;0,'Stage 17'!A67,IF(W67&gt;=$M$3,"Elected",IF(BQ18&lt;&gt;0,"Excluded",0)))</f>
        <v>0</v>
      </c>
      <c r="B67" s="235">
        <f>'Stage 17'!B67</f>
        <v>0</v>
      </c>
      <c r="C67" s="20">
        <f>'Verification of Boxes'!J20</f>
        <v>0</v>
      </c>
      <c r="D67" s="153">
        <f>'Verification of Boxes'!K20</f>
        <v>0</v>
      </c>
      <c r="E67" s="109">
        <f>'Verification of Boxes'!L20</f>
        <v>0</v>
      </c>
      <c r="F67" s="71">
        <f>'Stage 10'!V21</f>
        <v>0</v>
      </c>
      <c r="G67" s="135">
        <f>'Stage 10'!W21</f>
        <v>0</v>
      </c>
      <c r="H67" s="71">
        <f>'Stage 11'!H67</f>
        <v>0</v>
      </c>
      <c r="I67" s="135">
        <f>'Stage 11'!I67</f>
        <v>0</v>
      </c>
      <c r="J67" s="71">
        <f>'Stage 12'!J67</f>
        <v>0</v>
      </c>
      <c r="K67" s="135">
        <f>'Stage 12'!K67</f>
        <v>0</v>
      </c>
      <c r="L67" s="71">
        <f>'Stage 13'!L67</f>
        <v>0</v>
      </c>
      <c r="M67" s="135">
        <f>'Stage 13'!M67</f>
        <v>0</v>
      </c>
      <c r="N67" s="71">
        <f>'Stage 14'!N67</f>
        <v>0</v>
      </c>
      <c r="O67" s="135">
        <f>'Stage 14'!O67</f>
        <v>0</v>
      </c>
      <c r="P67" s="71">
        <f>'Stage 15'!P67</f>
        <v>0</v>
      </c>
      <c r="Q67" s="135">
        <f>'Stage 15'!Q67</f>
        <v>0</v>
      </c>
      <c r="R67" s="71">
        <f>'Stage 16'!R67</f>
        <v>0</v>
      </c>
      <c r="S67" s="135">
        <f>'Stage 16'!S67</f>
        <v>0</v>
      </c>
      <c r="T67" s="71">
        <f>'Stage 17'!T67</f>
        <v>0</v>
      </c>
      <c r="U67" s="135">
        <f>'Stage 17'!U67</f>
        <v>0</v>
      </c>
      <c r="V67" s="159">
        <f t="shared" si="42"/>
        <v>0</v>
      </c>
      <c r="W67" s="39">
        <f t="shared" si="43"/>
        <v>0</v>
      </c>
      <c r="AJ67">
        <f t="shared" si="44"/>
        <v>0</v>
      </c>
      <c r="AK67" s="2">
        <f t="shared" si="44"/>
        <v>0</v>
      </c>
      <c r="AL67">
        <f t="shared" si="34"/>
        <v>1000000</v>
      </c>
      <c r="AM67" s="2">
        <f t="shared" si="25"/>
        <v>0</v>
      </c>
      <c r="AN67">
        <f t="shared" si="35"/>
        <v>1000000</v>
      </c>
      <c r="AO67" s="2">
        <f t="shared" si="26"/>
        <v>0</v>
      </c>
      <c r="AP67">
        <f t="shared" si="27"/>
        <v>1000000</v>
      </c>
      <c r="AQ67" s="2">
        <f t="shared" si="28"/>
        <v>0</v>
      </c>
      <c r="AR67">
        <f t="shared" si="29"/>
        <v>1000000</v>
      </c>
      <c r="AT67" s="2">
        <f t="shared" si="30"/>
        <v>0</v>
      </c>
      <c r="AU67">
        <f t="shared" si="31"/>
        <v>1000000</v>
      </c>
      <c r="AV67" s="2">
        <f t="shared" si="32"/>
        <v>0</v>
      </c>
      <c r="AW67">
        <f t="shared" si="33"/>
        <v>1000000</v>
      </c>
      <c r="BG67" s="127">
        <f t="shared" si="36"/>
        <v>0</v>
      </c>
      <c r="BH67" s="128"/>
      <c r="BI67" s="5">
        <f t="shared" si="37"/>
        <v>0</v>
      </c>
      <c r="BJ67" s="5">
        <f t="shared" si="38"/>
        <v>0</v>
      </c>
      <c r="BK67" s="5">
        <f t="shared" si="39"/>
        <v>0</v>
      </c>
      <c r="BN67" s="5">
        <f t="shared" si="40"/>
        <v>0</v>
      </c>
      <c r="BX67" s="5">
        <f t="shared" si="41"/>
        <v>0</v>
      </c>
    </row>
    <row r="68" spans="1:76" ht="13" thickBot="1" x14ac:dyDescent="0.3">
      <c r="A68" s="20">
        <f>IF('Stage 17'!A68&lt;&gt;0,'Stage 17'!A68,IF(W68&gt;=$M$3,"Elected",IF(BQ19&lt;&gt;0,"Excluded",0)))</f>
        <v>0</v>
      </c>
      <c r="B68" s="235">
        <f>'Stage 17'!B68</f>
        <v>0</v>
      </c>
      <c r="C68" s="20">
        <f>'Verification of Boxes'!J21</f>
        <v>0</v>
      </c>
      <c r="D68" s="153">
        <f>'Verification of Boxes'!K21</f>
        <v>0</v>
      </c>
      <c r="E68" s="109">
        <f>'Verification of Boxes'!L21</f>
        <v>0</v>
      </c>
      <c r="F68" s="71">
        <f>'Stage 10'!V22</f>
        <v>0</v>
      </c>
      <c r="G68" s="135">
        <f>'Stage 10'!W22</f>
        <v>0</v>
      </c>
      <c r="H68" s="71">
        <f>'Stage 11'!H68</f>
        <v>0</v>
      </c>
      <c r="I68" s="135">
        <f>'Stage 11'!I68</f>
        <v>0</v>
      </c>
      <c r="J68" s="71">
        <f>'Stage 12'!J68</f>
        <v>0</v>
      </c>
      <c r="K68" s="135">
        <f>'Stage 12'!K68</f>
        <v>0</v>
      </c>
      <c r="L68" s="71">
        <f>'Stage 13'!L68</f>
        <v>0</v>
      </c>
      <c r="M68" s="135">
        <f>'Stage 13'!M68</f>
        <v>0</v>
      </c>
      <c r="N68" s="71">
        <f>'Stage 14'!N68</f>
        <v>0</v>
      </c>
      <c r="O68" s="135">
        <f>'Stage 14'!O68</f>
        <v>0</v>
      </c>
      <c r="P68" s="71">
        <f>'Stage 15'!P68</f>
        <v>0</v>
      </c>
      <c r="Q68" s="135">
        <f>'Stage 15'!Q68</f>
        <v>0</v>
      </c>
      <c r="R68" s="71">
        <f>'Stage 16'!R68</f>
        <v>0</v>
      </c>
      <c r="S68" s="135">
        <f>'Stage 16'!S68</f>
        <v>0</v>
      </c>
      <c r="T68" s="71">
        <f>'Stage 17'!T68</f>
        <v>0</v>
      </c>
      <c r="U68" s="135">
        <f>'Stage 17'!U68</f>
        <v>0</v>
      </c>
      <c r="V68" s="159">
        <f t="shared" si="42"/>
        <v>0</v>
      </c>
      <c r="W68" s="39">
        <f t="shared" si="43"/>
        <v>0</v>
      </c>
      <c r="BG68" s="129">
        <f t="shared" si="36"/>
        <v>0</v>
      </c>
      <c r="BH68" s="130"/>
      <c r="BI68" s="5">
        <f t="shared" si="37"/>
        <v>0</v>
      </c>
      <c r="BJ68" s="5">
        <f t="shared" si="38"/>
        <v>0</v>
      </c>
      <c r="BK68" s="5">
        <f t="shared" si="39"/>
        <v>0</v>
      </c>
      <c r="BN68" s="5">
        <f t="shared" si="40"/>
        <v>0</v>
      </c>
      <c r="BX68" s="5">
        <f t="shared" si="41"/>
        <v>0</v>
      </c>
    </row>
    <row r="69" spans="1:76" ht="12.75" customHeight="1" thickBot="1" x14ac:dyDescent="0.3">
      <c r="A69" s="20">
        <f>IF('Stage 17'!A69&lt;&gt;0,'Stage 17'!A69,IF(W69&gt;=$M$3,"Elected",IF(BQ20&lt;&gt;0,"Excluded",0)))</f>
        <v>0</v>
      </c>
      <c r="B69" s="235">
        <f>'Stage 17'!B69</f>
        <v>0</v>
      </c>
      <c r="C69" s="20">
        <f>'Verification of Boxes'!J22</f>
        <v>0</v>
      </c>
      <c r="D69" s="153">
        <f>'Verification of Boxes'!K22</f>
        <v>0</v>
      </c>
      <c r="E69" s="109">
        <f>'Verification of Boxes'!L22</f>
        <v>0</v>
      </c>
      <c r="F69" s="71">
        <f>'Stage 10'!V23</f>
        <v>0</v>
      </c>
      <c r="G69" s="135">
        <f>'Stage 10'!W23</f>
        <v>0</v>
      </c>
      <c r="H69" s="71">
        <f>'Stage 11'!H69</f>
        <v>0</v>
      </c>
      <c r="I69" s="135">
        <f>'Stage 11'!I69</f>
        <v>0</v>
      </c>
      <c r="J69" s="71">
        <f>'Stage 12'!J69</f>
        <v>0</v>
      </c>
      <c r="K69" s="135">
        <f>'Stage 12'!K69</f>
        <v>0</v>
      </c>
      <c r="L69" s="71">
        <f>'Stage 13'!L69</f>
        <v>0</v>
      </c>
      <c r="M69" s="135">
        <f>'Stage 13'!M69</f>
        <v>0</v>
      </c>
      <c r="N69" s="71">
        <f>'Stage 14'!N69</f>
        <v>0</v>
      </c>
      <c r="O69" s="135">
        <f>'Stage 14'!O69</f>
        <v>0</v>
      </c>
      <c r="P69" s="71">
        <f>'Stage 15'!P69</f>
        <v>0</v>
      </c>
      <c r="Q69" s="135">
        <f>'Stage 15'!Q69</f>
        <v>0</v>
      </c>
      <c r="R69" s="71">
        <f>'Stage 16'!R69</f>
        <v>0</v>
      </c>
      <c r="S69" s="135">
        <f>'Stage 16'!S69</f>
        <v>0</v>
      </c>
      <c r="T69" s="71">
        <f>'Stage 17'!T69</f>
        <v>0</v>
      </c>
      <c r="U69" s="135">
        <f>'Stage 17'!U69</f>
        <v>0</v>
      </c>
      <c r="V69" s="159">
        <f t="shared" si="42"/>
        <v>0</v>
      </c>
      <c r="W69" s="39">
        <f t="shared" si="43"/>
        <v>0</v>
      </c>
      <c r="BG69" t="s">
        <v>219</v>
      </c>
      <c r="BI69" s="5">
        <f>BG26</f>
        <v>0</v>
      </c>
      <c r="BJ69" s="5">
        <f>CF28</f>
        <v>0</v>
      </c>
      <c r="BK69" s="5">
        <f>BI69+BJ69</f>
        <v>0</v>
      </c>
      <c r="BX69" s="5">
        <f>SUM(BX49:BX68)</f>
        <v>0</v>
      </c>
    </row>
    <row r="70" spans="1:76" ht="13" thickBot="1" x14ac:dyDescent="0.3">
      <c r="A70" s="20">
        <f>IF('Stage 17'!A70&lt;&gt;0,'Stage 17'!A70,IF(W70&gt;=$M$3,"Elected",IF(BQ21&lt;&gt;0,"Excluded",0)))</f>
        <v>0</v>
      </c>
      <c r="B70" s="235">
        <f>'Stage 17'!B70</f>
        <v>0</v>
      </c>
      <c r="C70" s="20">
        <f>'Verification of Boxes'!J23</f>
        <v>0</v>
      </c>
      <c r="D70" s="153">
        <f>'Verification of Boxes'!K23</f>
        <v>0</v>
      </c>
      <c r="E70" s="109">
        <f>'Verification of Boxes'!L23</f>
        <v>0</v>
      </c>
      <c r="F70" s="71">
        <f>'Stage 10'!V24</f>
        <v>0</v>
      </c>
      <c r="G70" s="135">
        <f>'Stage 10'!W24</f>
        <v>0</v>
      </c>
      <c r="H70" s="71">
        <f>'Stage 11'!H70</f>
        <v>0</v>
      </c>
      <c r="I70" s="135">
        <f>'Stage 11'!I70</f>
        <v>0</v>
      </c>
      <c r="J70" s="71">
        <f>'Stage 12'!J70</f>
        <v>0</v>
      </c>
      <c r="K70" s="135">
        <f>'Stage 12'!K70</f>
        <v>0</v>
      </c>
      <c r="L70" s="71">
        <f>'Stage 13'!L70</f>
        <v>0</v>
      </c>
      <c r="M70" s="135">
        <f>'Stage 13'!M70</f>
        <v>0</v>
      </c>
      <c r="N70" s="71">
        <f>'Stage 14'!N70</f>
        <v>0</v>
      </c>
      <c r="O70" s="135">
        <f>'Stage 14'!O70</f>
        <v>0</v>
      </c>
      <c r="P70" s="71">
        <f>'Stage 15'!P70</f>
        <v>0</v>
      </c>
      <c r="Q70" s="135">
        <f>'Stage 15'!Q70</f>
        <v>0</v>
      </c>
      <c r="R70" s="71">
        <f>'Stage 16'!R70</f>
        <v>0</v>
      </c>
      <c r="S70" s="135">
        <f>'Stage 16'!S70</f>
        <v>0</v>
      </c>
      <c r="T70" s="71">
        <f>'Stage 17'!T70</f>
        <v>0</v>
      </c>
      <c r="U70" s="135">
        <f>'Stage 17'!U70</f>
        <v>0</v>
      </c>
      <c r="V70" s="159">
        <f t="shared" si="42"/>
        <v>0</v>
      </c>
      <c r="W70" s="39">
        <f t="shared" si="43"/>
        <v>0</v>
      </c>
      <c r="BK70" s="5">
        <f>BG27+CF29</f>
        <v>0</v>
      </c>
    </row>
    <row r="71" spans="1:76" ht="13" thickBot="1" x14ac:dyDescent="0.3">
      <c r="A71" s="20">
        <f>IF('Stage 17'!A71&lt;&gt;0,'Stage 17'!A71,IF(W71&gt;=$M$3,"Elected",IF(BQ22&lt;&gt;0,"Excluded",0)))</f>
        <v>0</v>
      </c>
      <c r="B71" s="235">
        <f>'Stage 17'!B71</f>
        <v>0</v>
      </c>
      <c r="C71" s="20">
        <f>'Verification of Boxes'!J24</f>
        <v>0</v>
      </c>
      <c r="D71" s="153">
        <f>'Verification of Boxes'!K24</f>
        <v>0</v>
      </c>
      <c r="E71" s="109">
        <f>'Verification of Boxes'!L24</f>
        <v>0</v>
      </c>
      <c r="F71" s="71">
        <f>'Stage 10'!V25</f>
        <v>0</v>
      </c>
      <c r="G71" s="135">
        <f>'Stage 10'!W25</f>
        <v>0</v>
      </c>
      <c r="H71" s="71">
        <f>'Stage 11'!H71</f>
        <v>0</v>
      </c>
      <c r="I71" s="135">
        <f>'Stage 11'!I71</f>
        <v>0</v>
      </c>
      <c r="J71" s="71">
        <f>'Stage 12'!J71</f>
        <v>0</v>
      </c>
      <c r="K71" s="135">
        <f>'Stage 12'!K71</f>
        <v>0</v>
      </c>
      <c r="L71" s="71">
        <f>'Stage 13'!L71</f>
        <v>0</v>
      </c>
      <c r="M71" s="135">
        <f>'Stage 13'!M71</f>
        <v>0</v>
      </c>
      <c r="N71" s="71">
        <f>'Stage 14'!N71</f>
        <v>0</v>
      </c>
      <c r="O71" s="135">
        <f>'Stage 14'!O71</f>
        <v>0</v>
      </c>
      <c r="P71" s="71">
        <f>'Stage 15'!P71</f>
        <v>0</v>
      </c>
      <c r="Q71" s="135">
        <f>'Stage 15'!Q71</f>
        <v>0</v>
      </c>
      <c r="R71" s="71">
        <f>'Stage 16'!R71</f>
        <v>0</v>
      </c>
      <c r="S71" s="135">
        <f>'Stage 16'!S71</f>
        <v>0</v>
      </c>
      <c r="T71" s="71">
        <f>'Stage 17'!T71</f>
        <v>0</v>
      </c>
      <c r="U71" s="135">
        <f>'Stage 17'!U71</f>
        <v>0</v>
      </c>
      <c r="V71" s="159">
        <f t="shared" si="42"/>
        <v>0</v>
      </c>
      <c r="W71" s="39">
        <f t="shared" si="43"/>
        <v>0</v>
      </c>
    </row>
    <row r="72" spans="1:76" ht="13" thickBot="1" x14ac:dyDescent="0.3">
      <c r="A72" s="20">
        <f>IF('Stage 17'!A72&lt;&gt;0,'Stage 17'!A72,IF(W72&gt;=$M$3,"Elected",IF(BQ23&lt;&gt;0,"Excluded",0)))</f>
        <v>0</v>
      </c>
      <c r="B72" s="235">
        <f>'Stage 17'!B72</f>
        <v>0</v>
      </c>
      <c r="C72" s="20">
        <f>'Verification of Boxes'!J25</f>
        <v>0</v>
      </c>
      <c r="D72" s="153">
        <f>'Verification of Boxes'!K25</f>
        <v>0</v>
      </c>
      <c r="E72" s="109">
        <f>'Verification of Boxes'!L25</f>
        <v>0</v>
      </c>
      <c r="F72" s="71">
        <f>'Stage 10'!V26</f>
        <v>0</v>
      </c>
      <c r="G72" s="135">
        <f>'Stage 10'!W26</f>
        <v>0</v>
      </c>
      <c r="H72" s="71">
        <f>'Stage 11'!H72</f>
        <v>0</v>
      </c>
      <c r="I72" s="135">
        <f>'Stage 11'!I72</f>
        <v>0</v>
      </c>
      <c r="J72" s="71">
        <f>'Stage 12'!J72</f>
        <v>0</v>
      </c>
      <c r="K72" s="135">
        <f>'Stage 12'!K72</f>
        <v>0</v>
      </c>
      <c r="L72" s="71">
        <f>'Stage 13'!L72</f>
        <v>0</v>
      </c>
      <c r="M72" s="135">
        <f>'Stage 13'!M72</f>
        <v>0</v>
      </c>
      <c r="N72" s="71">
        <f>'Stage 14'!N72</f>
        <v>0</v>
      </c>
      <c r="O72" s="135">
        <f>'Stage 14'!O72</f>
        <v>0</v>
      </c>
      <c r="P72" s="71">
        <f>'Stage 15'!P72</f>
        <v>0</v>
      </c>
      <c r="Q72" s="135">
        <f>'Stage 15'!Q72</f>
        <v>0</v>
      </c>
      <c r="R72" s="71">
        <f>'Stage 16'!R72</f>
        <v>0</v>
      </c>
      <c r="S72" s="135">
        <f>'Stage 16'!S72</f>
        <v>0</v>
      </c>
      <c r="T72" s="71">
        <f>'Stage 17'!T72</f>
        <v>0</v>
      </c>
      <c r="U72" s="135">
        <f>'Stage 17'!U72</f>
        <v>0</v>
      </c>
      <c r="V72" s="159">
        <f t="shared" si="42"/>
        <v>0</v>
      </c>
      <c r="W72" s="39">
        <f t="shared" si="43"/>
        <v>0</v>
      </c>
    </row>
    <row r="73" spans="1:76" ht="13" thickBot="1" x14ac:dyDescent="0.3">
      <c r="A73" s="20">
        <f>IF('Stage 17'!A73&lt;&gt;0,'Stage 17'!A73,IF(W73&gt;=$M$3,"Elected",IF(BQ24&lt;&gt;0,"Excluded",0)))</f>
        <v>0</v>
      </c>
      <c r="B73" s="235">
        <f>'Stage 17'!B73</f>
        <v>0</v>
      </c>
      <c r="C73" s="20">
        <f>'Verification of Boxes'!J26</f>
        <v>0</v>
      </c>
      <c r="D73" s="153">
        <f>'Verification of Boxes'!K26</f>
        <v>0</v>
      </c>
      <c r="E73" s="109">
        <f>'Verification of Boxes'!L26</f>
        <v>0</v>
      </c>
      <c r="F73" s="71">
        <f>'Stage 10'!V27</f>
        <v>0</v>
      </c>
      <c r="G73" s="135">
        <f>'Stage 10'!W27</f>
        <v>0</v>
      </c>
      <c r="H73" s="71">
        <f>'Stage 11'!H73</f>
        <v>0</v>
      </c>
      <c r="I73" s="135">
        <f>'Stage 11'!I73</f>
        <v>0</v>
      </c>
      <c r="J73" s="71">
        <f>'Stage 12'!J73</f>
        <v>0</v>
      </c>
      <c r="K73" s="135">
        <f>'Stage 12'!K73</f>
        <v>0</v>
      </c>
      <c r="L73" s="71">
        <f>'Stage 13'!L73</f>
        <v>0</v>
      </c>
      <c r="M73" s="135">
        <f>'Stage 13'!M73</f>
        <v>0</v>
      </c>
      <c r="N73" s="71">
        <f>'Stage 14'!N73</f>
        <v>0</v>
      </c>
      <c r="O73" s="135">
        <f>'Stage 14'!O73</f>
        <v>0</v>
      </c>
      <c r="P73" s="71">
        <f>'Stage 15'!P73</f>
        <v>0</v>
      </c>
      <c r="Q73" s="135">
        <f>'Stage 15'!Q73</f>
        <v>0</v>
      </c>
      <c r="R73" s="71">
        <f>'Stage 16'!R73</f>
        <v>0</v>
      </c>
      <c r="S73" s="135">
        <f>'Stage 16'!S73</f>
        <v>0</v>
      </c>
      <c r="T73" s="71">
        <f>'Stage 17'!T73</f>
        <v>0</v>
      </c>
      <c r="U73" s="135">
        <f>'Stage 17'!U73</f>
        <v>0</v>
      </c>
      <c r="V73" s="159">
        <f t="shared" si="42"/>
        <v>0</v>
      </c>
      <c r="W73" s="39">
        <f t="shared" si="43"/>
        <v>0</v>
      </c>
    </row>
    <row r="74" spans="1:76" ht="13" thickBot="1" x14ac:dyDescent="0.3">
      <c r="A74" s="20">
        <f>IF('Stage 17'!A74&lt;&gt;0,'Stage 17'!A74,IF(W74&gt;=$M$3,"Elected",IF(BQ25&lt;&gt;0,"Excluded",0)))</f>
        <v>0</v>
      </c>
      <c r="B74" s="235">
        <f>'Stage 17'!B74</f>
        <v>0</v>
      </c>
      <c r="C74" s="20">
        <f>'Verification of Boxes'!J27</f>
        <v>0</v>
      </c>
      <c r="D74" s="153">
        <f>'Verification of Boxes'!K27</f>
        <v>0</v>
      </c>
      <c r="E74" s="109">
        <f>'Verification of Boxes'!L27</f>
        <v>0</v>
      </c>
      <c r="F74" s="71">
        <f>'Stage 10'!V28</f>
        <v>0</v>
      </c>
      <c r="G74" s="135">
        <f>'Stage 10'!W28</f>
        <v>0</v>
      </c>
      <c r="H74" s="71">
        <f>'Stage 11'!H74</f>
        <v>0</v>
      </c>
      <c r="I74" s="135">
        <f>'Stage 11'!I74</f>
        <v>0</v>
      </c>
      <c r="J74" s="71">
        <f>'Stage 12'!J74</f>
        <v>0</v>
      </c>
      <c r="K74" s="135">
        <f>'Stage 12'!K74</f>
        <v>0</v>
      </c>
      <c r="L74" s="71">
        <f>'Stage 13'!L74</f>
        <v>0</v>
      </c>
      <c r="M74" s="135">
        <f>'Stage 13'!M74</f>
        <v>0</v>
      </c>
      <c r="N74" s="71">
        <f>'Stage 14'!N74</f>
        <v>0</v>
      </c>
      <c r="O74" s="135">
        <f>'Stage 14'!O74</f>
        <v>0</v>
      </c>
      <c r="P74" s="71">
        <f>'Stage 15'!P74</f>
        <v>0</v>
      </c>
      <c r="Q74" s="135">
        <f>'Stage 15'!Q74</f>
        <v>0</v>
      </c>
      <c r="R74" s="71">
        <f>'Stage 16'!R74</f>
        <v>0</v>
      </c>
      <c r="S74" s="135">
        <f>'Stage 16'!S74</f>
        <v>0</v>
      </c>
      <c r="T74" s="71">
        <f>'Stage 17'!T74</f>
        <v>0</v>
      </c>
      <c r="U74" s="135">
        <f>'Stage 17'!U74</f>
        <v>0</v>
      </c>
      <c r="V74" s="159">
        <f t="shared" si="42"/>
        <v>0</v>
      </c>
      <c r="W74" s="39">
        <f t="shared" si="43"/>
        <v>0</v>
      </c>
    </row>
    <row r="75" spans="1:76" ht="13" thickBot="1" x14ac:dyDescent="0.3">
      <c r="A75" s="20">
        <f>IF('Stage 17'!A75&lt;&gt;0,'Stage 17'!A75,IF(W75&gt;=$M$3,"Elected",IF(BQ26&lt;&gt;0,"Excluded",0)))</f>
        <v>0</v>
      </c>
      <c r="B75" s="235">
        <f>'Stage 17'!B75</f>
        <v>0</v>
      </c>
      <c r="C75" s="20">
        <f>'Verification of Boxes'!J28</f>
        <v>0</v>
      </c>
      <c r="D75" s="153">
        <f>'Verification of Boxes'!K28</f>
        <v>0</v>
      </c>
      <c r="E75" s="109">
        <f>'Verification of Boxes'!L28</f>
        <v>0</v>
      </c>
      <c r="F75" s="71">
        <f>'Stage 10'!V29</f>
        <v>0</v>
      </c>
      <c r="G75" s="135">
        <f>'Stage 10'!W29</f>
        <v>0</v>
      </c>
      <c r="H75" s="71">
        <f>'Stage 11'!H75</f>
        <v>0</v>
      </c>
      <c r="I75" s="135">
        <f>'Stage 11'!I75</f>
        <v>0</v>
      </c>
      <c r="J75" s="71">
        <f>'Stage 12'!J75</f>
        <v>0</v>
      </c>
      <c r="K75" s="135">
        <f>'Stage 12'!K75</f>
        <v>0</v>
      </c>
      <c r="L75" s="71">
        <f>'Stage 13'!L75</f>
        <v>0</v>
      </c>
      <c r="M75" s="135">
        <f>'Stage 13'!M75</f>
        <v>0</v>
      </c>
      <c r="N75" s="71">
        <f>'Stage 14'!N75</f>
        <v>0</v>
      </c>
      <c r="O75" s="135">
        <f>'Stage 14'!O75</f>
        <v>0</v>
      </c>
      <c r="P75" s="71">
        <f>'Stage 15'!P75</f>
        <v>0</v>
      </c>
      <c r="Q75" s="135">
        <f>'Stage 15'!Q75</f>
        <v>0</v>
      </c>
      <c r="R75" s="71">
        <f>'Stage 16'!R75</f>
        <v>0</v>
      </c>
      <c r="S75" s="135">
        <f>'Stage 16'!S75</f>
        <v>0</v>
      </c>
      <c r="T75" s="71">
        <f>'Stage 17'!T75</f>
        <v>0</v>
      </c>
      <c r="U75" s="135">
        <f>'Stage 17'!U75</f>
        <v>0</v>
      </c>
      <c r="V75" s="159">
        <f t="shared" si="42"/>
        <v>0</v>
      </c>
      <c r="W75" s="39">
        <f t="shared" si="43"/>
        <v>0</v>
      </c>
    </row>
    <row r="76" spans="1:76" ht="13" thickBot="1" x14ac:dyDescent="0.3">
      <c r="A76" s="21">
        <f>IF('Stage 17'!A76&lt;&gt;0,'Stage 17'!A76,IF(W76&gt;=$M$3,"Elected",IF(BQ27&lt;&gt;0,"Excluded",0)))</f>
        <v>0</v>
      </c>
      <c r="B76" s="235">
        <f>'Stage 17'!B76</f>
        <v>0</v>
      </c>
      <c r="C76" s="21">
        <f>'Verification of Boxes'!J29</f>
        <v>0</v>
      </c>
      <c r="D76" s="154">
        <f>'Verification of Boxes'!K29</f>
        <v>0</v>
      </c>
      <c r="E76" s="109">
        <f>'Verification of Boxes'!L29</f>
        <v>0</v>
      </c>
      <c r="F76" s="71">
        <f>'Stage 10'!V30</f>
        <v>0</v>
      </c>
      <c r="G76" s="135">
        <f>'Stage 10'!W30</f>
        <v>0</v>
      </c>
      <c r="H76" s="71">
        <f>'Stage 11'!H76</f>
        <v>0</v>
      </c>
      <c r="I76" s="135">
        <f>'Stage 11'!I76</f>
        <v>0</v>
      </c>
      <c r="J76" s="71">
        <f>'Stage 12'!J76</f>
        <v>0</v>
      </c>
      <c r="K76" s="135">
        <f>'Stage 12'!K76</f>
        <v>0</v>
      </c>
      <c r="L76" s="71">
        <f>'Stage 13'!L76</f>
        <v>0</v>
      </c>
      <c r="M76" s="135">
        <f>'Stage 13'!M76</f>
        <v>0</v>
      </c>
      <c r="N76" s="71">
        <f>'Stage 14'!N76</f>
        <v>0</v>
      </c>
      <c r="O76" s="135">
        <f>'Stage 14'!O76</f>
        <v>0</v>
      </c>
      <c r="P76" s="71">
        <f>'Stage 15'!P76</f>
        <v>0</v>
      </c>
      <c r="Q76" s="135">
        <f>'Stage 15'!Q76</f>
        <v>0</v>
      </c>
      <c r="R76" s="71">
        <f>'Stage 16'!R76</f>
        <v>0</v>
      </c>
      <c r="S76" s="135">
        <f>'Stage 16'!S76</f>
        <v>0</v>
      </c>
      <c r="T76" s="71">
        <f>'Stage 17'!T76</f>
        <v>0</v>
      </c>
      <c r="U76" s="135">
        <f>'Stage 17'!U76</f>
        <v>0</v>
      </c>
      <c r="V76" s="159">
        <f t="shared" si="42"/>
        <v>0</v>
      </c>
      <c r="W76" s="39">
        <f t="shared" si="43"/>
        <v>0</v>
      </c>
    </row>
    <row r="77" spans="1:76" ht="13" thickBot="1" x14ac:dyDescent="0.3">
      <c r="D77" s="25" t="s">
        <v>118</v>
      </c>
      <c r="E77" s="189"/>
      <c r="F77" s="71">
        <f>'Stage 10'!V31</f>
        <v>0</v>
      </c>
      <c r="G77" s="135">
        <f>'Stage 10'!W31</f>
        <v>0</v>
      </c>
      <c r="H77" s="71">
        <f>'Stage 11'!H77</f>
        <v>0</v>
      </c>
      <c r="I77" s="135">
        <f>'Stage 11'!I77</f>
        <v>0</v>
      </c>
      <c r="J77" s="71">
        <f>'Stage 12'!J77</f>
        <v>0</v>
      </c>
      <c r="K77" s="135">
        <f>'Stage 12'!K77</f>
        <v>0</v>
      </c>
      <c r="L77" s="71">
        <f>'Stage 13'!L77</f>
        <v>0</v>
      </c>
      <c r="M77" s="135">
        <f>'Stage 13'!M77</f>
        <v>0</v>
      </c>
      <c r="N77" s="71">
        <f>'Stage 14'!N77</f>
        <v>0</v>
      </c>
      <c r="O77" s="135">
        <f>'Stage 14'!O77</f>
        <v>0</v>
      </c>
      <c r="P77" s="71">
        <f>'Stage 15'!P77</f>
        <v>0</v>
      </c>
      <c r="Q77" s="135">
        <f>'Stage 15'!Q77</f>
        <v>0</v>
      </c>
      <c r="R77" s="71">
        <f>'Stage 16'!R77</f>
        <v>0</v>
      </c>
      <c r="S77" s="135">
        <f>'Stage 16'!S77</f>
        <v>0</v>
      </c>
      <c r="T77" s="71">
        <f>'Stage 17'!T77</f>
        <v>0</v>
      </c>
      <c r="U77" s="135">
        <f>'Stage 17'!U77</f>
        <v>0</v>
      </c>
      <c r="V77" s="71">
        <f>$BK69</f>
        <v>0</v>
      </c>
      <c r="W77" s="41">
        <f t="shared" si="43"/>
        <v>0</v>
      </c>
    </row>
    <row r="78" spans="1:76" ht="13" thickBot="1" x14ac:dyDescent="0.3">
      <c r="D78" s="42" t="s">
        <v>119</v>
      </c>
      <c r="E78" s="45">
        <f>SUM(E57:E76)</f>
        <v>7496</v>
      </c>
      <c r="F78" s="190"/>
      <c r="G78" s="135">
        <f>'Stage 10'!W32</f>
        <v>0</v>
      </c>
      <c r="H78" s="191"/>
      <c r="I78" s="135">
        <f>'Stage 11'!I78</f>
        <v>0</v>
      </c>
      <c r="J78" s="191"/>
      <c r="K78" s="135">
        <f>'Stage 12'!K78</f>
        <v>0</v>
      </c>
      <c r="L78" s="191"/>
      <c r="M78" s="135">
        <f>'Stage 13'!M78</f>
        <v>0</v>
      </c>
      <c r="N78" s="191"/>
      <c r="O78" s="135">
        <f>'Stage 14'!O78</f>
        <v>0</v>
      </c>
      <c r="P78" s="191"/>
      <c r="Q78" s="135">
        <f>'Stage 15'!Q78</f>
        <v>0</v>
      </c>
      <c r="R78" s="191"/>
      <c r="S78" s="135">
        <f>'Stage 16'!S78</f>
        <v>0</v>
      </c>
      <c r="T78" s="191"/>
      <c r="U78" s="135">
        <f>'Stage 17'!U78</f>
        <v>0</v>
      </c>
      <c r="V78" s="191"/>
      <c r="W78" s="50">
        <f>SUM(W57:W77)</f>
        <v>0</v>
      </c>
    </row>
    <row r="79" spans="1:76" ht="13" thickBot="1" x14ac:dyDescent="0.3">
      <c r="D79" s="25"/>
      <c r="E79" t="str">
        <f>IF(E78=$G4,"Totals Correct","ERROR")</f>
        <v>Totals Correct</v>
      </c>
      <c r="G79" t="str">
        <f>IF(G78=$G4,"Totals Correct","ERROR")</f>
        <v>ERROR</v>
      </c>
      <c r="I79" s="135" t="str">
        <f>'Stage 11'!I79</f>
        <v>ERROR</v>
      </c>
      <c r="K79" s="135" t="str">
        <f>'Stage 12'!K79</f>
        <v>ERROR</v>
      </c>
      <c r="M79" s="135" t="str">
        <f>'Stage 13'!M79</f>
        <v>ERROR</v>
      </c>
      <c r="O79" s="135" t="str">
        <f>'Stage 14'!O79</f>
        <v>ERROR</v>
      </c>
      <c r="Q79" s="135" t="str">
        <f>'Stage 15'!Q79</f>
        <v>ERROR</v>
      </c>
      <c r="S79" s="135" t="str">
        <f>'Stage 16'!S79</f>
        <v>ERROR</v>
      </c>
      <c r="U79" s="135" t="str">
        <f>'Stage 17'!U79</f>
        <v>ERROR</v>
      </c>
      <c r="W79" t="str">
        <f>IF(W78=$G50,"Totals Correct","ERROR")</f>
        <v>ERROR</v>
      </c>
    </row>
    <row r="80" spans="1:76" ht="13" thickBot="1" x14ac:dyDescent="0.3">
      <c r="D80" s="42" t="s">
        <v>120</v>
      </c>
      <c r="E80" s="185">
        <f>'Stage 2'!E80</f>
        <v>0</v>
      </c>
      <c r="F80" s="219"/>
      <c r="G80" s="185">
        <f>'Stage 10'!W34</f>
        <v>0</v>
      </c>
      <c r="H80" s="219"/>
      <c r="I80" s="221">
        <f>'Stage 11'!I80</f>
        <v>0</v>
      </c>
      <c r="J80" s="219"/>
      <c r="K80" s="221">
        <f>'Stage 12'!K80</f>
        <v>0</v>
      </c>
      <c r="L80" s="219"/>
      <c r="M80" s="221">
        <f>'Stage 13'!M80</f>
        <v>0</v>
      </c>
      <c r="N80" s="219"/>
      <c r="O80" s="221">
        <f>'Stage 14'!O80</f>
        <v>0</v>
      </c>
      <c r="P80" s="219"/>
      <c r="Q80" s="221">
        <f>'Stage 15'!Q80</f>
        <v>0</v>
      </c>
      <c r="R80" s="219"/>
      <c r="S80" s="221">
        <f>'Stage 16'!S80</f>
        <v>0</v>
      </c>
      <c r="T80" s="219"/>
      <c r="U80" s="221">
        <f>'Stage 17'!U80</f>
        <v>0</v>
      </c>
      <c r="V80" s="219"/>
      <c r="W80" s="183"/>
    </row>
    <row r="82" spans="41:46" x14ac:dyDescent="0.25">
      <c r="AO82" s="5">
        <f>IF(AO20&lt;&gt;0,1,0)</f>
        <v>0</v>
      </c>
      <c r="AP82" s="5"/>
      <c r="AQ82" s="5">
        <f t="shared" ref="AQ82:AR88" si="45">IF(AQ20&lt;&gt;0,1,0)</f>
        <v>0</v>
      </c>
      <c r="AR82" s="19">
        <f t="shared" si="45"/>
        <v>0</v>
      </c>
      <c r="AS82" s="19"/>
      <c r="AT82" s="5">
        <f>SUM(AO82:AR82)</f>
        <v>0</v>
      </c>
    </row>
    <row r="83" spans="41:46" x14ac:dyDescent="0.25">
      <c r="AO83" s="5">
        <f t="shared" ref="AO83:AO88" si="46">IF(AO21&lt;&gt;0,1,0)</f>
        <v>0</v>
      </c>
      <c r="AP83" s="5"/>
      <c r="AQ83" s="5">
        <f t="shared" si="45"/>
        <v>0</v>
      </c>
      <c r="AR83" s="19">
        <f t="shared" si="45"/>
        <v>0</v>
      </c>
      <c r="AS83" s="19"/>
      <c r="AT83" s="5">
        <f t="shared" ref="AT83:AT88" si="47">SUM(AO83:AR83)</f>
        <v>0</v>
      </c>
    </row>
    <row r="84" spans="41:46" x14ac:dyDescent="0.25">
      <c r="AO84" s="5">
        <f t="shared" si="46"/>
        <v>0</v>
      </c>
      <c r="AP84" s="5"/>
      <c r="AQ84" s="5">
        <f t="shared" si="45"/>
        <v>0</v>
      </c>
      <c r="AR84" s="19">
        <f t="shared" si="45"/>
        <v>0</v>
      </c>
      <c r="AS84" s="19"/>
      <c r="AT84" s="5">
        <f t="shared" si="47"/>
        <v>0</v>
      </c>
    </row>
    <row r="85" spans="41:46" x14ac:dyDescent="0.25">
      <c r="AO85" s="5">
        <f t="shared" si="46"/>
        <v>0</v>
      </c>
      <c r="AP85" s="5"/>
      <c r="AQ85" s="5">
        <f t="shared" si="45"/>
        <v>0</v>
      </c>
      <c r="AR85" s="19">
        <f t="shared" si="45"/>
        <v>0</v>
      </c>
      <c r="AS85" s="19"/>
      <c r="AT85" s="5">
        <f t="shared" si="47"/>
        <v>0</v>
      </c>
    </row>
    <row r="86" spans="41:46" x14ac:dyDescent="0.25">
      <c r="AO86" s="5">
        <f t="shared" si="46"/>
        <v>0</v>
      </c>
      <c r="AP86" s="5"/>
      <c r="AQ86" s="5">
        <f t="shared" si="45"/>
        <v>0</v>
      </c>
      <c r="AR86" s="19">
        <f t="shared" si="45"/>
        <v>0</v>
      </c>
      <c r="AS86" s="19"/>
      <c r="AT86" s="5">
        <f t="shared" si="47"/>
        <v>0</v>
      </c>
    </row>
    <row r="87" spans="41:46" x14ac:dyDescent="0.25">
      <c r="AO87" s="5">
        <f t="shared" si="46"/>
        <v>0</v>
      </c>
      <c r="AP87" s="5"/>
      <c r="AQ87" s="5">
        <f t="shared" si="45"/>
        <v>0</v>
      </c>
      <c r="AR87" s="19">
        <f t="shared" si="45"/>
        <v>0</v>
      </c>
      <c r="AS87" s="19"/>
      <c r="AT87" s="5">
        <f t="shared" si="47"/>
        <v>0</v>
      </c>
    </row>
    <row r="88" spans="41:46" x14ac:dyDescent="0.25">
      <c r="AO88" s="5">
        <f t="shared" si="46"/>
        <v>0</v>
      </c>
      <c r="AP88" s="5"/>
      <c r="AQ88" s="5">
        <f t="shared" si="45"/>
        <v>0</v>
      </c>
      <c r="AR88" s="19">
        <f t="shared" si="45"/>
        <v>0</v>
      </c>
      <c r="AS88" s="19"/>
      <c r="AT88" s="5">
        <f t="shared" si="47"/>
        <v>0</v>
      </c>
    </row>
    <row r="89" spans="41:46" x14ac:dyDescent="0.25">
      <c r="AT89" s="5">
        <f>SUM(AT82:AT88)</f>
        <v>0</v>
      </c>
    </row>
    <row r="114" spans="1:11" ht="12.75" customHeight="1" x14ac:dyDescent="0.25"/>
    <row r="121" spans="1:11" ht="13" thickBot="1" x14ac:dyDescent="0.3"/>
    <row r="122" spans="1:11" ht="13" thickBot="1" x14ac:dyDescent="0.3">
      <c r="A122" s="381" t="s">
        <v>335</v>
      </c>
      <c r="B122" s="382"/>
      <c r="C122" s="382"/>
      <c r="D122" s="382"/>
      <c r="E122" s="382"/>
      <c r="F122" s="382"/>
      <c r="G122" s="382"/>
      <c r="H122" s="382"/>
      <c r="I122" s="382"/>
      <c r="J122" s="382"/>
      <c r="K122" s="383"/>
    </row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336</v>
      </c>
      <c r="DF210" s="231" t="s">
        <v>221</v>
      </c>
    </row>
    <row r="211" spans="105:110" ht="15.5" x14ac:dyDescent="0.35">
      <c r="DA211" s="232" t="str">
        <f>IF(A57="Elected","E",IF(A57="Excluded","Excluded",""))&amp;IF(B57&gt;0,B57,"")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V57</f>
        <v>0</v>
      </c>
      <c r="DF211" s="233">
        <f>W57</f>
        <v>0</v>
      </c>
    </row>
    <row r="212" spans="105:110" ht="15.5" x14ac:dyDescent="0.35">
      <c r="DA212" s="232" t="str">
        <f t="shared" ref="DA212:DA230" si="48">IF(A58="Elected","E",IF(A58="Excluded","Excluded",""))&amp;IF(B58&gt;0,B58,"")</f>
        <v>Excluded</v>
      </c>
      <c r="DB212" s="232" t="str">
        <f t="shared" ref="DB212:DD227" si="49">C12</f>
        <v>FLYNN</v>
      </c>
      <c r="DC212" s="232" t="str">
        <f t="shared" si="49"/>
        <v>Sinn Féin</v>
      </c>
      <c r="DD212" s="233">
        <f t="shared" si="49"/>
        <v>493</v>
      </c>
      <c r="DE212" s="233">
        <f t="shared" ref="DE212:DF212" si="50">V58</f>
        <v>0</v>
      </c>
      <c r="DF212" s="233">
        <f t="shared" si="50"/>
        <v>0</v>
      </c>
    </row>
    <row r="213" spans="105:110" ht="15.5" x14ac:dyDescent="0.35">
      <c r="DA213" s="232" t="str">
        <f t="shared" si="48"/>
        <v>Excluded</v>
      </c>
      <c r="DB213" s="232" t="str">
        <f t="shared" si="49"/>
        <v>FRENCH</v>
      </c>
      <c r="DC213" s="232" t="str">
        <f t="shared" si="49"/>
        <v xml:space="preserve">SDLP </v>
      </c>
      <c r="DD213" s="233">
        <f t="shared" si="49"/>
        <v>472</v>
      </c>
      <c r="DE213" s="233">
        <f t="shared" ref="DE213:DF213" si="51">V59</f>
        <v>0</v>
      </c>
      <c r="DF213" s="233">
        <f t="shared" si="51"/>
        <v>0</v>
      </c>
    </row>
    <row r="214" spans="105:110" ht="15.5" x14ac:dyDescent="0.35">
      <c r="DA214" s="232" t="str">
        <f t="shared" si="48"/>
        <v>E3</v>
      </c>
      <c r="DB214" s="232" t="str">
        <f t="shared" si="49"/>
        <v>GIVAN</v>
      </c>
      <c r="DC214" s="232" t="str">
        <f t="shared" si="49"/>
        <v>D.U.P.</v>
      </c>
      <c r="DD214" s="233">
        <f t="shared" si="49"/>
        <v>1038</v>
      </c>
      <c r="DE214" s="233">
        <f t="shared" ref="DE214:DF214" si="52">V60</f>
        <v>0</v>
      </c>
      <c r="DF214" s="233">
        <f t="shared" si="52"/>
        <v>0</v>
      </c>
    </row>
    <row r="215" spans="105:110" ht="15.5" x14ac:dyDescent="0.35">
      <c r="DA215" s="232" t="str">
        <f t="shared" si="48"/>
        <v>E2</v>
      </c>
      <c r="DB215" s="232" t="str">
        <f t="shared" si="49"/>
        <v>GREHAN</v>
      </c>
      <c r="DC215" s="232" t="str">
        <f t="shared" si="49"/>
        <v>Alliance Party</v>
      </c>
      <c r="DD215" s="233">
        <f t="shared" si="49"/>
        <v>1111</v>
      </c>
      <c r="DE215" s="233">
        <f t="shared" ref="DE215:DF215" si="53">V61</f>
        <v>0</v>
      </c>
      <c r="DF215" s="233">
        <f t="shared" si="53"/>
        <v>0</v>
      </c>
    </row>
    <row r="216" spans="105:110" ht="15.5" x14ac:dyDescent="0.35">
      <c r="DA216" s="232" t="str">
        <f t="shared" si="48"/>
        <v>E4</v>
      </c>
      <c r="DB216" s="232" t="str">
        <f t="shared" si="49"/>
        <v>KENNEDY</v>
      </c>
      <c r="DC216" s="232" t="str">
        <f t="shared" si="49"/>
        <v>Alliance Party</v>
      </c>
      <c r="DD216" s="233">
        <f t="shared" si="49"/>
        <v>674</v>
      </c>
      <c r="DE216" s="233">
        <f t="shared" ref="DE216:DF216" si="54">V62</f>
        <v>0</v>
      </c>
      <c r="DF216" s="233">
        <f t="shared" si="54"/>
        <v>0</v>
      </c>
    </row>
    <row r="217" spans="105:110" ht="15.5" x14ac:dyDescent="0.35">
      <c r="DA217" s="232" t="str">
        <f t="shared" si="48"/>
        <v>Excluded</v>
      </c>
      <c r="DB217" s="232" t="str">
        <f t="shared" si="49"/>
        <v>MCEVOY</v>
      </c>
      <c r="DC217" s="232" t="str">
        <f t="shared" si="49"/>
        <v xml:space="preserve">TUV </v>
      </c>
      <c r="DD217" s="233">
        <f t="shared" si="49"/>
        <v>387</v>
      </c>
      <c r="DE217" s="233">
        <f t="shared" ref="DE217:DF217" si="55">V63</f>
        <v>0</v>
      </c>
      <c r="DF217" s="233">
        <f t="shared" si="55"/>
        <v>0</v>
      </c>
    </row>
    <row r="218" spans="105:110" ht="15.5" x14ac:dyDescent="0.35">
      <c r="DA218" s="232" t="str">
        <f t="shared" si="48"/>
        <v>5</v>
      </c>
      <c r="DB218" s="232" t="str">
        <f t="shared" si="49"/>
        <v>MITCHELL</v>
      </c>
      <c r="DC218" s="232" t="str">
        <f t="shared" si="49"/>
        <v>UUP</v>
      </c>
      <c r="DD218" s="233">
        <f t="shared" si="49"/>
        <v>870</v>
      </c>
      <c r="DE218" s="233">
        <f t="shared" ref="DE218:DF218" si="56">V64</f>
        <v>0</v>
      </c>
      <c r="DF218" s="233">
        <f t="shared" si="56"/>
        <v>0</v>
      </c>
    </row>
    <row r="219" spans="105:110" ht="15.5" x14ac:dyDescent="0.35">
      <c r="DA219" s="232" t="str">
        <f t="shared" si="48"/>
        <v>Excluded</v>
      </c>
      <c r="DB219" s="232" t="str">
        <f t="shared" si="49"/>
        <v>PALMER</v>
      </c>
      <c r="DC219" s="232" t="str">
        <f t="shared" si="49"/>
        <v>UUP</v>
      </c>
      <c r="DD219" s="233">
        <f t="shared" si="49"/>
        <v>625</v>
      </c>
      <c r="DE219" s="233">
        <f t="shared" ref="DE219:DF219" si="57">V65</f>
        <v>0</v>
      </c>
      <c r="DF219" s="233">
        <f t="shared" si="57"/>
        <v>0</v>
      </c>
    </row>
    <row r="220" spans="105:110" ht="15.5" x14ac:dyDescent="0.35">
      <c r="DA220" s="232" t="str">
        <f t="shared" si="48"/>
        <v>6</v>
      </c>
      <c r="DB220" s="232" t="str">
        <f t="shared" si="49"/>
        <v>PORTER</v>
      </c>
      <c r="DC220" s="232" t="str">
        <f t="shared" si="49"/>
        <v>D.U.P.</v>
      </c>
      <c r="DD220" s="233">
        <f t="shared" si="49"/>
        <v>687</v>
      </c>
      <c r="DE220" s="233">
        <f t="shared" ref="DE220:DF220" si="58">V66</f>
        <v>0</v>
      </c>
      <c r="DF220" s="233">
        <f t="shared" si="58"/>
        <v>0</v>
      </c>
    </row>
    <row r="221" spans="105:110" ht="15.5" x14ac:dyDescent="0.35">
      <c r="DA221" s="232" t="str">
        <f t="shared" si="48"/>
        <v/>
      </c>
      <c r="DB221" s="232">
        <f t="shared" si="49"/>
        <v>0</v>
      </c>
      <c r="DC221" s="232">
        <f t="shared" si="49"/>
        <v>0</v>
      </c>
      <c r="DD221" s="233">
        <f t="shared" si="49"/>
        <v>0</v>
      </c>
      <c r="DE221" s="233">
        <f t="shared" ref="DE221:DF221" si="59">V67</f>
        <v>0</v>
      </c>
      <c r="DF221" s="233">
        <f t="shared" si="59"/>
        <v>0</v>
      </c>
    </row>
    <row r="222" spans="105:110" ht="15.5" x14ac:dyDescent="0.35">
      <c r="DA222" s="232" t="str">
        <f t="shared" si="48"/>
        <v/>
      </c>
      <c r="DB222" s="232">
        <f t="shared" si="49"/>
        <v>0</v>
      </c>
      <c r="DC222" s="232">
        <f t="shared" si="49"/>
        <v>0</v>
      </c>
      <c r="DD222" s="233">
        <f t="shared" si="49"/>
        <v>0</v>
      </c>
      <c r="DE222" s="233">
        <f t="shared" ref="DE222:DF222" si="60">V68</f>
        <v>0</v>
      </c>
      <c r="DF222" s="233">
        <f t="shared" si="60"/>
        <v>0</v>
      </c>
    </row>
    <row r="223" spans="105:110" ht="15.5" x14ac:dyDescent="0.35">
      <c r="DA223" s="232" t="str">
        <f t="shared" si="48"/>
        <v/>
      </c>
      <c r="DB223" s="232">
        <f t="shared" si="49"/>
        <v>0</v>
      </c>
      <c r="DC223" s="232">
        <f t="shared" si="49"/>
        <v>0</v>
      </c>
      <c r="DD223" s="233">
        <f t="shared" si="49"/>
        <v>0</v>
      </c>
      <c r="DE223" s="233">
        <f t="shared" ref="DE223:DF223" si="61">V69</f>
        <v>0</v>
      </c>
      <c r="DF223" s="233">
        <f t="shared" si="61"/>
        <v>0</v>
      </c>
    </row>
    <row r="224" spans="105:110" ht="15.5" x14ac:dyDescent="0.35">
      <c r="DA224" s="232" t="str">
        <f t="shared" si="48"/>
        <v/>
      </c>
      <c r="DB224" s="232">
        <f t="shared" si="49"/>
        <v>0</v>
      </c>
      <c r="DC224" s="232">
        <f t="shared" si="49"/>
        <v>0</v>
      </c>
      <c r="DD224" s="233">
        <f t="shared" si="49"/>
        <v>0</v>
      </c>
      <c r="DE224" s="233">
        <f t="shared" ref="DE224:DF224" si="62">V70</f>
        <v>0</v>
      </c>
      <c r="DF224" s="233">
        <f t="shared" si="62"/>
        <v>0</v>
      </c>
    </row>
    <row r="225" spans="105:110" ht="15.5" x14ac:dyDescent="0.35">
      <c r="DA225" s="232" t="str">
        <f t="shared" si="48"/>
        <v/>
      </c>
      <c r="DB225" s="232">
        <f t="shared" si="49"/>
        <v>0</v>
      </c>
      <c r="DC225" s="232">
        <f t="shared" si="49"/>
        <v>0</v>
      </c>
      <c r="DD225" s="233">
        <f t="shared" si="49"/>
        <v>0</v>
      </c>
      <c r="DE225" s="233">
        <f t="shared" ref="DE225:DF225" si="63">V71</f>
        <v>0</v>
      </c>
      <c r="DF225" s="233">
        <f t="shared" si="63"/>
        <v>0</v>
      </c>
    </row>
    <row r="226" spans="105:110" ht="15.5" x14ac:dyDescent="0.35">
      <c r="DA226" s="232" t="str">
        <f t="shared" si="48"/>
        <v/>
      </c>
      <c r="DB226" s="232">
        <f t="shared" si="49"/>
        <v>0</v>
      </c>
      <c r="DC226" s="232">
        <f t="shared" si="49"/>
        <v>0</v>
      </c>
      <c r="DD226" s="233">
        <f t="shared" si="49"/>
        <v>0</v>
      </c>
      <c r="DE226" s="233">
        <f t="shared" ref="DE226:DF226" si="64">V72</f>
        <v>0</v>
      </c>
      <c r="DF226" s="233">
        <f t="shared" si="64"/>
        <v>0</v>
      </c>
    </row>
    <row r="227" spans="105:110" ht="15.5" x14ac:dyDescent="0.35">
      <c r="DA227" s="232" t="str">
        <f t="shared" si="48"/>
        <v/>
      </c>
      <c r="DB227" s="232">
        <f t="shared" si="49"/>
        <v>0</v>
      </c>
      <c r="DC227" s="232">
        <f t="shared" si="49"/>
        <v>0</v>
      </c>
      <c r="DD227" s="233">
        <f t="shared" si="49"/>
        <v>0</v>
      </c>
      <c r="DE227" s="233">
        <f t="shared" ref="DE227:DF227" si="65">V73</f>
        <v>0</v>
      </c>
      <c r="DF227" s="233">
        <f t="shared" si="65"/>
        <v>0</v>
      </c>
    </row>
    <row r="228" spans="105:110" ht="15.5" x14ac:dyDescent="0.35">
      <c r="DA228" s="232" t="str">
        <f t="shared" si="48"/>
        <v/>
      </c>
      <c r="DB228" s="232">
        <f t="shared" ref="DB228:DD230" si="66">C28</f>
        <v>0</v>
      </c>
      <c r="DC228" s="232">
        <f t="shared" si="66"/>
        <v>0</v>
      </c>
      <c r="DD228" s="233">
        <f t="shared" si="66"/>
        <v>0</v>
      </c>
      <c r="DE228" s="233">
        <f t="shared" ref="DE228:DF228" si="67">V74</f>
        <v>0</v>
      </c>
      <c r="DF228" s="233">
        <f t="shared" si="67"/>
        <v>0</v>
      </c>
    </row>
    <row r="229" spans="105:110" ht="15.5" x14ac:dyDescent="0.35">
      <c r="DA229" s="232" t="str">
        <f t="shared" si="48"/>
        <v/>
      </c>
      <c r="DB229" s="232">
        <f t="shared" si="66"/>
        <v>0</v>
      </c>
      <c r="DC229" s="232">
        <f t="shared" si="66"/>
        <v>0</v>
      </c>
      <c r="DD229" s="233">
        <f t="shared" si="66"/>
        <v>0</v>
      </c>
      <c r="DE229" s="233">
        <f t="shared" ref="DE229:DF229" si="68">V75</f>
        <v>0</v>
      </c>
      <c r="DF229" s="233">
        <f t="shared" si="68"/>
        <v>0</v>
      </c>
    </row>
    <row r="230" spans="105:110" ht="15.5" x14ac:dyDescent="0.35">
      <c r="DA230" s="232" t="str">
        <f t="shared" si="48"/>
        <v/>
      </c>
      <c r="DB230" s="232">
        <f t="shared" si="66"/>
        <v>0</v>
      </c>
      <c r="DC230" s="232">
        <f t="shared" si="66"/>
        <v>0</v>
      </c>
      <c r="DD230" s="233">
        <f t="shared" si="66"/>
        <v>0</v>
      </c>
      <c r="DE230" s="233">
        <f t="shared" ref="DE230:DF230" si="69">V76</f>
        <v>0</v>
      </c>
      <c r="DF230" s="233">
        <f t="shared" si="69"/>
        <v>0</v>
      </c>
    </row>
    <row r="231" spans="105:110" ht="15.5" x14ac:dyDescent="0.35">
      <c r="DC231" s="234" t="s">
        <v>123</v>
      </c>
      <c r="DD231" s="234"/>
      <c r="DE231" s="233">
        <f t="shared" ref="DE231:DF231" si="70">V77</f>
        <v>0</v>
      </c>
      <c r="DF231" s="233">
        <f t="shared" si="70"/>
        <v>0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 t="shared" ref="DF232" si="71">W78</f>
        <v>0</v>
      </c>
    </row>
  </sheetData>
  <sheetProtection sheet="1" objects="1" scenarios="1"/>
  <protectedRanges>
    <protectedRange sqref="CE6" name="Range19"/>
    <protectedRange sqref="CD8:CD28" name="Range18"/>
    <protectedRange sqref="CC6" name="Range17"/>
    <protectedRange sqref="CB8:CB28" name="Range16"/>
    <protectedRange sqref="CA6" name="Range15"/>
    <protectedRange sqref="BZ8:BZ28" name="Range14"/>
    <protectedRange sqref="BY6" name="Range13"/>
    <protectedRange sqref="BX8:BX28" name="Range12"/>
    <protectedRange sqref="BV8:BV28" name="Range11"/>
    <protectedRange sqref="BT8:BT28" name="Range10"/>
    <protectedRange sqref="BU3:CA3" name="Range8"/>
    <protectedRange sqref="BC10" name="Range4"/>
    <protectedRange sqref="BC13:BC14" name="Range5"/>
    <protectedRange sqref="BF5:BF24" name="Range6"/>
    <protectedRange sqref="BF26" name="Range7"/>
    <protectedRange sqref="BQ8:BQ27" name="Range22"/>
    <protectedRange sqref="BH5:BH24" name="Range21"/>
    <protectedRange sqref="W80" name="Range20"/>
    <protectedRange sqref="AQ5" name="Range3_1"/>
  </protectedRanges>
  <mergeCells count="129">
    <mergeCell ref="CC31:CF32"/>
    <mergeCell ref="Z6:AF7"/>
    <mergeCell ref="AL3:AQ3"/>
    <mergeCell ref="AL28:AQ29"/>
    <mergeCell ref="AL31:AQ32"/>
    <mergeCell ref="AJ25:AK25"/>
    <mergeCell ref="AJ24:AK24"/>
    <mergeCell ref="AO24:AP24"/>
    <mergeCell ref="AO25:AP25"/>
    <mergeCell ref="BF30:BG32"/>
    <mergeCell ref="BI30:BK31"/>
    <mergeCell ref="AJ20:AK20"/>
    <mergeCell ref="AZ22:AZ23"/>
    <mergeCell ref="AJ22:AK22"/>
    <mergeCell ref="AJ23:AK23"/>
    <mergeCell ref="AJ21:AK21"/>
    <mergeCell ref="AO20:AP20"/>
    <mergeCell ref="AO22:AP22"/>
    <mergeCell ref="AO23:AP23"/>
    <mergeCell ref="AO21:AP21"/>
    <mergeCell ref="AK9:AP10"/>
    <mergeCell ref="AQ13:AQ17"/>
    <mergeCell ref="BQ5:BQ7"/>
    <mergeCell ref="AQ6:AR7"/>
    <mergeCell ref="A122:K122"/>
    <mergeCell ref="T55:U55"/>
    <mergeCell ref="V55:W55"/>
    <mergeCell ref="N55:O55"/>
    <mergeCell ref="P55:Q55"/>
    <mergeCell ref="BY30:BZ32"/>
    <mergeCell ref="V54:W54"/>
    <mergeCell ref="N54:O54"/>
    <mergeCell ref="P54:Q54"/>
    <mergeCell ref="R54:S54"/>
    <mergeCell ref="V52:W52"/>
    <mergeCell ref="V53:W53"/>
    <mergeCell ref="E49:F49"/>
    <mergeCell ref="H49:I49"/>
    <mergeCell ref="T54:U54"/>
    <mergeCell ref="F54:G54"/>
    <mergeCell ref="H54:I54"/>
    <mergeCell ref="J54:K54"/>
    <mergeCell ref="K49:L49"/>
    <mergeCell ref="T52:U52"/>
    <mergeCell ref="T53:U53"/>
    <mergeCell ref="F53:G53"/>
    <mergeCell ref="H53:I53"/>
    <mergeCell ref="J53:K53"/>
    <mergeCell ref="L54:M54"/>
    <mergeCell ref="N52:O52"/>
    <mergeCell ref="P52:Q52"/>
    <mergeCell ref="R55:S55"/>
    <mergeCell ref="O50:S50"/>
    <mergeCell ref="R52:S52"/>
    <mergeCell ref="N53:O53"/>
    <mergeCell ref="P53:Q53"/>
    <mergeCell ref="R53:S53"/>
    <mergeCell ref="F55:G55"/>
    <mergeCell ref="H55:I55"/>
    <mergeCell ref="J55:K55"/>
    <mergeCell ref="E3:F3"/>
    <mergeCell ref="V7:W7"/>
    <mergeCell ref="Z3:AF3"/>
    <mergeCell ref="E4:F4"/>
    <mergeCell ref="K47:L47"/>
    <mergeCell ref="F52:G52"/>
    <mergeCell ref="H52:I52"/>
    <mergeCell ref="J52:K52"/>
    <mergeCell ref="L52:M52"/>
    <mergeCell ref="O48:S48"/>
    <mergeCell ref="O49:S49"/>
    <mergeCell ref="Z4:AF4"/>
    <mergeCell ref="L7:M7"/>
    <mergeCell ref="U4:W4"/>
    <mergeCell ref="N6:O6"/>
    <mergeCell ref="N7:O7"/>
    <mergeCell ref="F7:G7"/>
    <mergeCell ref="H7:I7"/>
    <mergeCell ref="L53:M53"/>
    <mergeCell ref="U50:W50"/>
    <mergeCell ref="L55:M55"/>
    <mergeCell ref="Z2:AF2"/>
    <mergeCell ref="V6:W6"/>
    <mergeCell ref="J6:K6"/>
    <mergeCell ref="J7:K7"/>
    <mergeCell ref="L6:M6"/>
    <mergeCell ref="L8:M8"/>
    <mergeCell ref="N8:O8"/>
    <mergeCell ref="AO13:AO17"/>
    <mergeCell ref="F8:G8"/>
    <mergeCell ref="H8:I8"/>
    <mergeCell ref="J8:K8"/>
    <mergeCell ref="T9:U9"/>
    <mergeCell ref="T6:U6"/>
    <mergeCell ref="T7:U7"/>
    <mergeCell ref="T8:U8"/>
    <mergeCell ref="F9:G9"/>
    <mergeCell ref="H9:I9"/>
    <mergeCell ref="J9:K9"/>
    <mergeCell ref="L9:M9"/>
    <mergeCell ref="AK6:AP7"/>
    <mergeCell ref="AM13:AM17"/>
    <mergeCell ref="F6:G6"/>
    <mergeCell ref="H6:I6"/>
    <mergeCell ref="AP13:AP17"/>
    <mergeCell ref="CC2:CF2"/>
    <mergeCell ref="BI3:BK3"/>
    <mergeCell ref="BI2:BK2"/>
    <mergeCell ref="BU3:CA3"/>
    <mergeCell ref="DE209:DF209"/>
    <mergeCell ref="AQ9:AR10"/>
    <mergeCell ref="K1:L1"/>
    <mergeCell ref="H3:I3"/>
    <mergeCell ref="O4:S4"/>
    <mergeCell ref="O3:S3"/>
    <mergeCell ref="H4:I4"/>
    <mergeCell ref="AL13:AL17"/>
    <mergeCell ref="O2:S2"/>
    <mergeCell ref="AN13:AN19"/>
    <mergeCell ref="N9:O9"/>
    <mergeCell ref="P9:Q9"/>
    <mergeCell ref="R9:S9"/>
    <mergeCell ref="P8:Q8"/>
    <mergeCell ref="P7:Q7"/>
    <mergeCell ref="P6:Q6"/>
    <mergeCell ref="R8:S8"/>
    <mergeCell ref="R7:S7"/>
    <mergeCell ref="R6:S6"/>
    <mergeCell ref="V8:W8"/>
  </mergeCells>
  <phoneticPr fontId="0" type="noConversion"/>
  <conditionalFormatting sqref="AL3">
    <cfRule type="cellIs" dxfId="5" priority="1" stopIfTrue="1" operator="notEqual">
      <formula>0</formula>
    </cfRule>
  </conditionalFormatting>
  <conditionalFormatting sqref="BF30:BG31">
    <cfRule type="cellIs" dxfId="4" priority="2" stopIfTrue="1" operator="equal">
      <formula>"NONE"</formula>
    </cfRule>
    <cfRule type="cellIs" dxfId="3" priority="3" stopIfTrue="1" operator="notEqual">
      <formula>"NONE"</formula>
    </cfRule>
  </conditionalFormatting>
  <conditionalFormatting sqref="BY30">
    <cfRule type="cellIs" dxfId="2" priority="4" stopIfTrue="1" operator="equal">
      <formula>"Calculations OK"</formula>
    </cfRule>
    <cfRule type="cellIs" dxfId="1" priority="5" stopIfTrue="1" operator="equal">
      <formula>"Check Count for Error"</formula>
    </cfRule>
  </conditionalFormatting>
  <conditionalFormatting sqref="U50:W50 U4:W4">
    <cfRule type="cellIs" dxfId="0" priority="6" stopIfTrue="1" operator="equal">
      <formula>"SWITCH TO PAPER SYSTEM"</formula>
    </cfRule>
  </conditionalFormatting>
  <hyperlinks>
    <hyperlink ref="A122" location="'Stage 3'!A1" display="MOVE TO STAGE 3"/>
    <hyperlink ref="A122:E122" location="'Stage 18'!A80" display="NO NEXT STAGE IN CURRENT WORKSHEET RETURN TO OVERVIEW STAGE 18"/>
    <hyperlink ref="A122:K122" location="'Stage 18'!A45" display="NO NEXT STAGE IN CURRENT WORKSHEET RETURN TO OVERVIEW STAGE 18"/>
    <hyperlink ref="Z6:AF7" location="'Stage 17'!A83:W83" display="BACK to Overview of STAGE 17"/>
    <hyperlink ref="AL28" location="'Stage 2'!BI1" display="MOVE TO TRANSFER OF SURPLUS VOTES FORM"/>
    <hyperlink ref="AL31" location="'Stage 2'!CC1" display="MOVE TO EXCLUDE CANDIDATE FORM"/>
    <hyperlink ref="AL28:AQ29" location="'Stage 18'!AY1:BK1" display="MOVE TO TRANSFER OF SURPLUS VOTES FORM"/>
    <hyperlink ref="AL31:AQ32" location="'Stage 18'!BN1:CE1" display="MOVE TO EXCLUDE CANDIDATE FORM"/>
    <hyperlink ref="BI3:BK3" location="'Stage 18'!Y1:AR1" display="BACK to DECISION FORM"/>
    <hyperlink ref="BI30:BK31" location="'Stage 18'!A83:W83" display="FORWARD to OVERVIEW OF STAGE 18"/>
    <hyperlink ref="CC2" location="'Stage 2'!AQ5" display="MOVE TO NEXT FORM"/>
    <hyperlink ref="CC2:CF2" location="'Stage 18'!Y1:AR1" display="BACK to DECISION FORM"/>
    <hyperlink ref="CC31" location="'Stage 2'!A1" display="HOME TO OVERVIEW OF STAGE 2"/>
    <hyperlink ref="CC31:CF32" location="'Stage 18'!A83:W83" display="FORWARD to OVERVIEW OF STAGE 18"/>
    <hyperlink ref="O48" location="'Stage 3'!A1" display="MOVE TO STAGE 3"/>
    <hyperlink ref="O48:S48" location="'Stage 18'!Y1:AR1" display="BACK to DECISION FORM Stage 18"/>
    <hyperlink ref="O49:S49" location="'Stage 18'!A1" display="OVERVIEW OF STAGES 1 - 10"/>
    <hyperlink ref="O2" location="'Stage 3'!A1" display="MOVE TO STAGE 3"/>
    <hyperlink ref="O2:S2" location="'Stage 18'!Y1:AR1" display="BACK to DECISION FORM Stage 18"/>
    <hyperlink ref="O3:S3" location="'Stage 18'!A83:W83" display="OVERVIEW OF STAGES 10 - 18"/>
  </hyperlinks>
  <pageMargins left="0.75" right="0.75" top="1" bottom="1" header="0.5" footer="0.5"/>
  <pageSetup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G125"/>
  <sheetViews>
    <sheetView showZeros="0" zoomScale="75" workbookViewId="0">
      <selection activeCell="B13" sqref="B13"/>
    </sheetView>
  </sheetViews>
  <sheetFormatPr defaultRowHeight="12.5" x14ac:dyDescent="0.25"/>
  <cols>
    <col min="1" max="1" width="29.453125" customWidth="1"/>
    <col min="2" max="2" width="22.08984375" style="28" customWidth="1"/>
    <col min="3" max="3" width="38.90625" customWidth="1"/>
    <col min="4" max="4" width="42" customWidth="1"/>
    <col min="5" max="5" width="16.54296875" customWidth="1"/>
    <col min="6" max="6" width="6" customWidth="1"/>
  </cols>
  <sheetData>
    <row r="1" spans="1:7" ht="13" x14ac:dyDescent="0.3">
      <c r="A1" s="187" t="s">
        <v>337</v>
      </c>
      <c r="B1" s="81"/>
      <c r="C1" s="187"/>
    </row>
    <row r="2" spans="1:7" x14ac:dyDescent="0.25">
      <c r="A2" s="3" t="s">
        <v>338</v>
      </c>
      <c r="C2" s="3"/>
      <c r="D2" s="28" t="str">
        <f>'Basic Input'!C4</f>
        <v>Local Council Elections 2023</v>
      </c>
    </row>
    <row r="3" spans="1:7" x14ac:dyDescent="0.25">
      <c r="A3" s="3" t="s">
        <v>339</v>
      </c>
      <c r="C3" s="3"/>
      <c r="D3" s="186">
        <f>'Basic Input'!C2</f>
        <v>45064</v>
      </c>
    </row>
    <row r="4" spans="1:7" x14ac:dyDescent="0.25">
      <c r="A4" s="3" t="str">
        <f>'Basic Input'!B6</f>
        <v>District Electoral Area of</v>
      </c>
      <c r="C4" s="3"/>
      <c r="D4" s="28" t="str">
        <f>'Basic Input'!C6</f>
        <v>Lisburn South</v>
      </c>
      <c r="G4" s="3"/>
    </row>
    <row r="5" spans="1:7" x14ac:dyDescent="0.25">
      <c r="D5" s="3"/>
      <c r="E5" s="28"/>
      <c r="G5" s="3"/>
    </row>
    <row r="6" spans="1:7" ht="13" thickBot="1" x14ac:dyDescent="0.3">
      <c r="D6" s="3"/>
      <c r="E6" s="217">
        <f>'Verification of Boxes'!Q16</f>
        <v>0.33333333333333331</v>
      </c>
    </row>
    <row r="7" spans="1:7" ht="13" thickBot="1" x14ac:dyDescent="0.3">
      <c r="D7" s="3" t="s">
        <v>340</v>
      </c>
      <c r="E7" s="63"/>
    </row>
    <row r="9" spans="1:7" ht="13" x14ac:dyDescent="0.3">
      <c r="A9" s="214" t="s">
        <v>341</v>
      </c>
      <c r="B9" s="215" t="s">
        <v>342</v>
      </c>
      <c r="C9" s="206" t="s">
        <v>343</v>
      </c>
      <c r="D9" s="206" t="s">
        <v>344</v>
      </c>
      <c r="E9" s="207" t="s">
        <v>112</v>
      </c>
    </row>
    <row r="10" spans="1:7" s="205" customFormat="1" ht="13" x14ac:dyDescent="0.3">
      <c r="A10" s="208" t="s">
        <v>345</v>
      </c>
      <c r="B10" s="213" t="s">
        <v>346</v>
      </c>
      <c r="C10" s="208" t="s">
        <v>347</v>
      </c>
      <c r="D10" s="204" t="s">
        <v>348</v>
      </c>
      <c r="E10" s="204">
        <f>'Verification of Boxes'!D7</f>
        <v>7595</v>
      </c>
    </row>
    <row r="11" spans="1:7" s="205" customFormat="1" ht="13" x14ac:dyDescent="0.3">
      <c r="A11" s="208" t="s">
        <v>345</v>
      </c>
      <c r="B11" s="213" t="s">
        <v>346</v>
      </c>
      <c r="C11" s="208" t="s">
        <v>347</v>
      </c>
      <c r="D11" s="226" t="s">
        <v>349</v>
      </c>
      <c r="E11" s="216">
        <f>'Verification of Boxes'!Q16</f>
        <v>0.33333333333333331</v>
      </c>
    </row>
    <row r="12" spans="1:7" s="205" customFormat="1" ht="13" x14ac:dyDescent="0.3">
      <c r="A12" s="208" t="s">
        <v>345</v>
      </c>
      <c r="B12" s="213" t="s">
        <v>346</v>
      </c>
      <c r="C12" s="208" t="s">
        <v>347</v>
      </c>
      <c r="D12" s="204" t="s">
        <v>350</v>
      </c>
      <c r="E12" s="216">
        <f>'Verification of Boxes'!Q19</f>
        <v>0.3923611111111111</v>
      </c>
    </row>
    <row r="13" spans="1:7" s="205" customFormat="1" ht="13" x14ac:dyDescent="0.3">
      <c r="A13" s="208" t="s">
        <v>345</v>
      </c>
      <c r="B13" s="213" t="s">
        <v>346</v>
      </c>
      <c r="C13" s="208" t="s">
        <v>347</v>
      </c>
      <c r="D13" s="204" t="s">
        <v>351</v>
      </c>
      <c r="E13" s="209">
        <f>E12-E11</f>
        <v>5.902777777777779E-2</v>
      </c>
    </row>
    <row r="14" spans="1:7" s="205" customFormat="1" ht="13" x14ac:dyDescent="0.3">
      <c r="A14" s="208" t="s">
        <v>345</v>
      </c>
      <c r="B14" s="213" t="s">
        <v>346</v>
      </c>
      <c r="C14" s="208" t="s">
        <v>347</v>
      </c>
      <c r="D14" s="204" t="s">
        <v>352</v>
      </c>
      <c r="E14" s="209">
        <f>E13/E10*100</f>
        <v>7.7719259746909537E-4</v>
      </c>
    </row>
    <row r="15" spans="1:7" s="205" customFormat="1" ht="13" x14ac:dyDescent="0.3">
      <c r="A15" s="208" t="s">
        <v>345</v>
      </c>
      <c r="B15" s="213" t="s">
        <v>346</v>
      </c>
      <c r="C15" s="208" t="s">
        <v>347</v>
      </c>
      <c r="D15" s="204" t="s">
        <v>353</v>
      </c>
      <c r="E15" s="210" t="e">
        <f>E10/E$7</f>
        <v>#DIV/0!</v>
      </c>
    </row>
    <row r="16" spans="1:7" s="205" customFormat="1" ht="13" x14ac:dyDescent="0.3">
      <c r="A16" s="208" t="s">
        <v>345</v>
      </c>
      <c r="B16" s="213" t="s">
        <v>346</v>
      </c>
      <c r="C16" s="208" t="s">
        <v>347</v>
      </c>
      <c r="D16" s="204" t="s">
        <v>354</v>
      </c>
      <c r="E16" s="204" t="e">
        <f>E13/E15</f>
        <v>#DIV/0!</v>
      </c>
    </row>
    <row r="17" spans="1:5" s="205" customFormat="1" ht="13" x14ac:dyDescent="0.3">
      <c r="A17" s="206" t="s">
        <v>355</v>
      </c>
      <c r="B17" s="207" t="s">
        <v>356</v>
      </c>
      <c r="C17" s="206" t="s">
        <v>357</v>
      </c>
      <c r="D17" s="227" t="s">
        <v>349</v>
      </c>
      <c r="E17" s="211">
        <f>'Verification of Boxes'!Q23</f>
        <v>0.39861111111111108</v>
      </c>
    </row>
    <row r="18" spans="1:5" s="205" customFormat="1" ht="13" x14ac:dyDescent="0.3">
      <c r="A18" s="206" t="s">
        <v>355</v>
      </c>
      <c r="B18" s="207" t="s">
        <v>356</v>
      </c>
      <c r="C18" s="206" t="s">
        <v>357</v>
      </c>
      <c r="D18" s="5" t="s">
        <v>350</v>
      </c>
      <c r="E18" s="211">
        <f>'Verification of Boxes'!Q25</f>
        <v>0.5083333333333333</v>
      </c>
    </row>
    <row r="19" spans="1:5" ht="13" x14ac:dyDescent="0.3">
      <c r="A19" s="206" t="s">
        <v>355</v>
      </c>
      <c r="B19" s="207" t="s">
        <v>356</v>
      </c>
      <c r="C19" s="206" t="s">
        <v>357</v>
      </c>
      <c r="D19" s="5" t="s">
        <v>358</v>
      </c>
      <c r="E19" s="5">
        <f>'Verification of Boxes'!D7</f>
        <v>7595</v>
      </c>
    </row>
    <row r="20" spans="1:5" ht="13" x14ac:dyDescent="0.3">
      <c r="A20" s="206" t="s">
        <v>355</v>
      </c>
      <c r="B20" s="207" t="s">
        <v>356</v>
      </c>
      <c r="C20" s="206" t="s">
        <v>357</v>
      </c>
      <c r="D20" s="5" t="s">
        <v>359</v>
      </c>
      <c r="E20" s="218">
        <f>E18-E17</f>
        <v>0.10972222222222222</v>
      </c>
    </row>
    <row r="21" spans="1:5" ht="13" x14ac:dyDescent="0.3">
      <c r="A21" s="206" t="s">
        <v>355</v>
      </c>
      <c r="B21" s="207" t="s">
        <v>356</v>
      </c>
      <c r="C21" s="206" t="s">
        <v>357</v>
      </c>
      <c r="D21" s="5" t="s">
        <v>352</v>
      </c>
      <c r="E21" s="218">
        <f>E20/E19*100</f>
        <v>1.4446638870602004E-3</v>
      </c>
    </row>
    <row r="22" spans="1:5" ht="13" x14ac:dyDescent="0.3">
      <c r="A22" s="206" t="s">
        <v>355</v>
      </c>
      <c r="B22" s="207" t="s">
        <v>356</v>
      </c>
      <c r="C22" s="206" t="s">
        <v>357</v>
      </c>
      <c r="D22" s="5" t="s">
        <v>360</v>
      </c>
      <c r="E22" s="212" t="e">
        <f>E19/E$7</f>
        <v>#DIV/0!</v>
      </c>
    </row>
    <row r="23" spans="1:5" ht="13" x14ac:dyDescent="0.3">
      <c r="A23" s="206" t="s">
        <v>355</v>
      </c>
      <c r="B23" s="207" t="s">
        <v>356</v>
      </c>
      <c r="C23" s="206" t="s">
        <v>357</v>
      </c>
      <c r="D23" s="5" t="s">
        <v>361</v>
      </c>
      <c r="E23" s="211" t="e">
        <f>E20/E22</f>
        <v>#DIV/0!</v>
      </c>
    </row>
    <row r="24" spans="1:5" ht="13" x14ac:dyDescent="0.3">
      <c r="A24" s="208" t="s">
        <v>103</v>
      </c>
      <c r="B24" s="213" t="str">
        <f>'Stage 2'!F$7</f>
        <v>Transfer</v>
      </c>
      <c r="C24" s="208" t="str">
        <f>'Stage 2'!F$8</f>
        <v>EWING</v>
      </c>
      <c r="D24" s="204" t="s">
        <v>350</v>
      </c>
      <c r="E24" s="209">
        <f>'Stage 2'!G34</f>
        <v>0</v>
      </c>
    </row>
    <row r="25" spans="1:5" s="205" customFormat="1" ht="13" x14ac:dyDescent="0.3">
      <c r="A25" s="208" t="s">
        <v>103</v>
      </c>
      <c r="B25" s="213" t="str">
        <f>'Stage 2'!F$7</f>
        <v>Transfer</v>
      </c>
      <c r="C25" s="208" t="str">
        <f>'Stage 2'!F$8</f>
        <v>EWING</v>
      </c>
      <c r="D25" s="204" t="s">
        <v>358</v>
      </c>
      <c r="E25" s="204">
        <f>IF('Stage 2'!AQ5="y",'Stage 2'!BC13,'Stage 2'!CE6)</f>
        <v>1139</v>
      </c>
    </row>
    <row r="26" spans="1:5" s="205" customFormat="1" ht="13" x14ac:dyDescent="0.3">
      <c r="A26" s="208" t="s">
        <v>103</v>
      </c>
      <c r="B26" s="213" t="str">
        <f>'Stage 2'!F$7</f>
        <v>Transfer</v>
      </c>
      <c r="C26" s="208" t="str">
        <f>'Stage 2'!F$8</f>
        <v>EWING</v>
      </c>
      <c r="D26" s="204" t="s">
        <v>359</v>
      </c>
      <c r="E26" s="209">
        <f>E24-E18</f>
        <v>-0.5083333333333333</v>
      </c>
    </row>
    <row r="27" spans="1:5" s="205" customFormat="1" ht="13" x14ac:dyDescent="0.3">
      <c r="A27" s="208" t="s">
        <v>103</v>
      </c>
      <c r="B27" s="213" t="str">
        <f>'Stage 2'!F$7</f>
        <v>Transfer</v>
      </c>
      <c r="C27" s="208" t="str">
        <f>'Stage 2'!F$8</f>
        <v>EWING</v>
      </c>
      <c r="D27" s="204" t="s">
        <v>352</v>
      </c>
      <c r="E27" s="209">
        <f>E26/E25*100</f>
        <v>-4.4629792215393621E-2</v>
      </c>
    </row>
    <row r="28" spans="1:5" s="205" customFormat="1" ht="13" x14ac:dyDescent="0.3">
      <c r="A28" s="208" t="s">
        <v>103</v>
      </c>
      <c r="B28" s="213" t="str">
        <f>'Stage 2'!F$7</f>
        <v>Transfer</v>
      </c>
      <c r="C28" s="208" t="str">
        <f>'Stage 2'!F$8</f>
        <v>EWING</v>
      </c>
      <c r="D28" s="204" t="s">
        <v>360</v>
      </c>
      <c r="E28" s="210" t="e">
        <f>E25/E$7</f>
        <v>#DIV/0!</v>
      </c>
    </row>
    <row r="29" spans="1:5" s="205" customFormat="1" ht="13" x14ac:dyDescent="0.3">
      <c r="A29" s="208" t="s">
        <v>103</v>
      </c>
      <c r="B29" s="213" t="str">
        <f>'Stage 2'!F$7</f>
        <v>Transfer</v>
      </c>
      <c r="C29" s="208" t="str">
        <f>'Stage 2'!F$8</f>
        <v>EWING</v>
      </c>
      <c r="D29" s="204" t="s">
        <v>361</v>
      </c>
      <c r="E29" s="209" t="e">
        <f>E26/E28</f>
        <v>#DIV/0!</v>
      </c>
    </row>
    <row r="30" spans="1:5" s="205" customFormat="1" ht="13" x14ac:dyDescent="0.3">
      <c r="A30" s="206" t="s">
        <v>104</v>
      </c>
      <c r="B30" s="207" t="str">
        <f>'Stage 3'!H$7</f>
        <v>Exclude</v>
      </c>
      <c r="C30" s="206" t="str">
        <f>'Stage 3'!H$8</f>
        <v xml:space="preserve"> MCEVOY</v>
      </c>
      <c r="D30" s="5" t="s">
        <v>350</v>
      </c>
      <c r="E30" s="211">
        <f>'Stage 3'!I34</f>
        <v>0</v>
      </c>
    </row>
    <row r="31" spans="1:5" ht="13" x14ac:dyDescent="0.3">
      <c r="A31" s="206" t="s">
        <v>104</v>
      </c>
      <c r="B31" s="207" t="str">
        <f>'Stage 3'!H$7</f>
        <v>Exclude</v>
      </c>
      <c r="C31" s="206" t="str">
        <f>'Stage 3'!H$8</f>
        <v xml:space="preserve"> MCEVOY</v>
      </c>
      <c r="D31" s="5" t="s">
        <v>358</v>
      </c>
      <c r="E31" s="5">
        <f>IF('Stage 3'!AQ5="y",'Stage 3'!BC13,'Stage 3'!CE6)</f>
        <v>411</v>
      </c>
    </row>
    <row r="32" spans="1:5" ht="13" x14ac:dyDescent="0.3">
      <c r="A32" s="206" t="s">
        <v>104</v>
      </c>
      <c r="B32" s="207" t="str">
        <f>'Stage 3'!H$7</f>
        <v>Exclude</v>
      </c>
      <c r="C32" s="206" t="str">
        <f>'Stage 3'!H$8</f>
        <v xml:space="preserve"> MCEVOY</v>
      </c>
      <c r="D32" s="5" t="s">
        <v>359</v>
      </c>
      <c r="E32" s="211">
        <f>E30-E24</f>
        <v>0</v>
      </c>
    </row>
    <row r="33" spans="1:5" ht="13" x14ac:dyDescent="0.3">
      <c r="A33" s="206" t="s">
        <v>104</v>
      </c>
      <c r="B33" s="207" t="str">
        <f>'Stage 3'!H$7</f>
        <v>Exclude</v>
      </c>
      <c r="C33" s="206" t="str">
        <f>'Stage 3'!H$8</f>
        <v xml:space="preserve"> MCEVOY</v>
      </c>
      <c r="D33" s="5" t="s">
        <v>352</v>
      </c>
      <c r="E33" s="211">
        <f>E32/E31*100</f>
        <v>0</v>
      </c>
    </row>
    <row r="34" spans="1:5" ht="13" x14ac:dyDescent="0.3">
      <c r="A34" s="206" t="s">
        <v>104</v>
      </c>
      <c r="B34" s="207" t="str">
        <f>'Stage 3'!H$7</f>
        <v>Exclude</v>
      </c>
      <c r="C34" s="206" t="str">
        <f>'Stage 3'!H$8</f>
        <v xml:space="preserve"> MCEVOY</v>
      </c>
      <c r="D34" s="5" t="s">
        <v>360</v>
      </c>
      <c r="E34" s="212" t="e">
        <f>E31/E$7</f>
        <v>#DIV/0!</v>
      </c>
    </row>
    <row r="35" spans="1:5" ht="13" x14ac:dyDescent="0.3">
      <c r="A35" s="206" t="s">
        <v>104</v>
      </c>
      <c r="B35" s="207" t="str">
        <f>'Stage 3'!H$7</f>
        <v>Exclude</v>
      </c>
      <c r="C35" s="206" t="str">
        <f>'Stage 3'!H$8</f>
        <v xml:space="preserve"> MCEVOY</v>
      </c>
      <c r="D35" s="5" t="s">
        <v>361</v>
      </c>
      <c r="E35" s="211" t="e">
        <f>E32/E34</f>
        <v>#DIV/0!</v>
      </c>
    </row>
    <row r="36" spans="1:5" ht="13" x14ac:dyDescent="0.3">
      <c r="A36" s="208" t="s">
        <v>105</v>
      </c>
      <c r="B36" s="213" t="str">
        <f>'Stage 4'!J$7</f>
        <v>Transfer</v>
      </c>
      <c r="C36" s="208" t="str">
        <f>'Stage 4'!J$8</f>
        <v>GREHAN</v>
      </c>
      <c r="D36" s="204" t="s">
        <v>350</v>
      </c>
      <c r="E36" s="209">
        <f>'Stage 4'!K34</f>
        <v>0</v>
      </c>
    </row>
    <row r="37" spans="1:5" ht="13" x14ac:dyDescent="0.3">
      <c r="A37" s="208" t="s">
        <v>105</v>
      </c>
      <c r="B37" s="213" t="str">
        <f>'Stage 4'!J$7</f>
        <v>Transfer</v>
      </c>
      <c r="C37" s="208" t="str">
        <f>'Stage 4'!J$8</f>
        <v>GREHAN</v>
      </c>
      <c r="D37" s="204" t="s">
        <v>358</v>
      </c>
      <c r="E37" s="204">
        <f>IF('Stage 4'!AQ5="y",'Stage 4'!BC13,'Stage 4'!CE6)</f>
        <v>1111</v>
      </c>
    </row>
    <row r="38" spans="1:5" ht="13" x14ac:dyDescent="0.3">
      <c r="A38" s="208" t="s">
        <v>105</v>
      </c>
      <c r="B38" s="213" t="str">
        <f>'Stage 4'!J$7</f>
        <v>Transfer</v>
      </c>
      <c r="C38" s="208" t="str">
        <f>'Stage 4'!J$8</f>
        <v>GREHAN</v>
      </c>
      <c r="D38" s="204" t="s">
        <v>359</v>
      </c>
      <c r="E38" s="209">
        <f>E36-E30</f>
        <v>0</v>
      </c>
    </row>
    <row r="39" spans="1:5" ht="13" x14ac:dyDescent="0.3">
      <c r="A39" s="208" t="s">
        <v>105</v>
      </c>
      <c r="B39" s="213" t="str">
        <f>'Stage 4'!J$7</f>
        <v>Transfer</v>
      </c>
      <c r="C39" s="208" t="str">
        <f>'Stage 4'!J$8</f>
        <v>GREHAN</v>
      </c>
      <c r="D39" s="204" t="s">
        <v>352</v>
      </c>
      <c r="E39" s="209">
        <f>E38/E37*100</f>
        <v>0</v>
      </c>
    </row>
    <row r="40" spans="1:5" ht="13" x14ac:dyDescent="0.3">
      <c r="A40" s="208" t="s">
        <v>105</v>
      </c>
      <c r="B40" s="213" t="str">
        <f>'Stage 4'!J$7</f>
        <v>Transfer</v>
      </c>
      <c r="C40" s="208" t="str">
        <f>'Stage 4'!J$8</f>
        <v>GREHAN</v>
      </c>
      <c r="D40" s="204" t="s">
        <v>360</v>
      </c>
      <c r="E40" s="210" t="e">
        <f>E37/E$7</f>
        <v>#DIV/0!</v>
      </c>
    </row>
    <row r="41" spans="1:5" ht="13" x14ac:dyDescent="0.3">
      <c r="A41" s="208" t="s">
        <v>105</v>
      </c>
      <c r="B41" s="213" t="str">
        <f>'Stage 4'!J$7</f>
        <v>Transfer</v>
      </c>
      <c r="C41" s="208" t="str">
        <f>'Stage 4'!J$8</f>
        <v>GREHAN</v>
      </c>
      <c r="D41" s="204" t="s">
        <v>361</v>
      </c>
      <c r="E41" s="209" t="e">
        <f>E38/E40</f>
        <v>#DIV/0!</v>
      </c>
    </row>
    <row r="42" spans="1:5" ht="13" x14ac:dyDescent="0.3">
      <c r="A42" s="206" t="s">
        <v>106</v>
      </c>
      <c r="B42" s="207" t="str">
        <f>'Stage 5'!L$7</f>
        <v>Transfer</v>
      </c>
      <c r="C42" s="206" t="str">
        <f>'Stage 5'!L$8</f>
        <v>GIVAN</v>
      </c>
      <c r="D42" s="5" t="s">
        <v>350</v>
      </c>
      <c r="E42" s="211">
        <f>'Stage 5'!M34</f>
        <v>0</v>
      </c>
    </row>
    <row r="43" spans="1:5" ht="13" x14ac:dyDescent="0.3">
      <c r="A43" s="206" t="s">
        <v>106</v>
      </c>
      <c r="B43" s="207" t="str">
        <f>'Stage 5'!L$7</f>
        <v>Transfer</v>
      </c>
      <c r="C43" s="206" t="str">
        <f>'Stage 5'!L$8</f>
        <v>GIVAN</v>
      </c>
      <c r="D43" s="5" t="s">
        <v>358</v>
      </c>
      <c r="E43" s="5">
        <f>IF('Stage 5'!AQ5="y",'Stage 5'!BC13,'Stage 5'!CE6)</f>
        <v>860</v>
      </c>
    </row>
    <row r="44" spans="1:5" ht="13" x14ac:dyDescent="0.3">
      <c r="A44" s="206" t="s">
        <v>106</v>
      </c>
      <c r="B44" s="207" t="str">
        <f>'Stage 5'!L$7</f>
        <v>Transfer</v>
      </c>
      <c r="C44" s="206" t="str">
        <f>'Stage 5'!L$8</f>
        <v>GIVAN</v>
      </c>
      <c r="D44" s="5" t="s">
        <v>359</v>
      </c>
      <c r="E44" s="211">
        <f>E42-E36</f>
        <v>0</v>
      </c>
    </row>
    <row r="45" spans="1:5" ht="13" x14ac:dyDescent="0.3">
      <c r="A45" s="206" t="s">
        <v>106</v>
      </c>
      <c r="B45" s="207" t="str">
        <f>'Stage 5'!L$7</f>
        <v>Transfer</v>
      </c>
      <c r="C45" s="206" t="str">
        <f>'Stage 5'!L$8</f>
        <v>GIVAN</v>
      </c>
      <c r="D45" s="5" t="s">
        <v>352</v>
      </c>
      <c r="E45" s="211">
        <f>E44/E43*100</f>
        <v>0</v>
      </c>
    </row>
    <row r="46" spans="1:5" ht="13" x14ac:dyDescent="0.3">
      <c r="A46" s="206" t="s">
        <v>106</v>
      </c>
      <c r="B46" s="207" t="str">
        <f>'Stage 5'!L$7</f>
        <v>Transfer</v>
      </c>
      <c r="C46" s="206" t="str">
        <f>'Stage 5'!L$8</f>
        <v>GIVAN</v>
      </c>
      <c r="D46" s="5" t="s">
        <v>360</v>
      </c>
      <c r="E46" s="212" t="e">
        <f>E43/E$7</f>
        <v>#DIV/0!</v>
      </c>
    </row>
    <row r="47" spans="1:5" ht="13" x14ac:dyDescent="0.3">
      <c r="A47" s="206" t="s">
        <v>106</v>
      </c>
      <c r="B47" s="207" t="str">
        <f>'Stage 5'!L$7</f>
        <v>Transfer</v>
      </c>
      <c r="C47" s="206" t="str">
        <f>'Stage 5'!L$8</f>
        <v>GIVAN</v>
      </c>
      <c r="D47" s="5" t="s">
        <v>361</v>
      </c>
      <c r="E47" s="211" t="e">
        <f>E44/E46</f>
        <v>#DIV/0!</v>
      </c>
    </row>
    <row r="48" spans="1:5" ht="13" x14ac:dyDescent="0.3">
      <c r="A48" s="208" t="s">
        <v>107</v>
      </c>
      <c r="B48" s="213" t="str">
        <f>'Stage 6'!N$7</f>
        <v>Exclude</v>
      </c>
      <c r="C48" s="208" t="str">
        <f>'Stage 6'!N$8</f>
        <v>FRENCH</v>
      </c>
      <c r="D48" s="204" t="s">
        <v>350</v>
      </c>
      <c r="E48" s="209">
        <f>'Stage 6'!O34</f>
        <v>0</v>
      </c>
    </row>
    <row r="49" spans="1:5" ht="13" x14ac:dyDescent="0.3">
      <c r="A49" s="208" t="s">
        <v>107</v>
      </c>
      <c r="B49" s="213" t="str">
        <f>'Stage 6'!N$7</f>
        <v>Exclude</v>
      </c>
      <c r="C49" s="208" t="str">
        <f>'Stage 6'!N$8</f>
        <v>FRENCH</v>
      </c>
      <c r="D49" s="204" t="s">
        <v>358</v>
      </c>
      <c r="E49" s="204">
        <f>IF('Stage 6'!AQ5="y",'Stage 6'!BC13,'Stage 6'!CE6)</f>
        <v>514</v>
      </c>
    </row>
    <row r="50" spans="1:5" ht="13" x14ac:dyDescent="0.3">
      <c r="A50" s="208" t="s">
        <v>107</v>
      </c>
      <c r="B50" s="213" t="str">
        <f>'Stage 6'!N$7</f>
        <v>Exclude</v>
      </c>
      <c r="C50" s="208" t="str">
        <f>'Stage 6'!N$8</f>
        <v>FRENCH</v>
      </c>
      <c r="D50" s="204" t="s">
        <v>359</v>
      </c>
      <c r="E50" s="209">
        <f>E48-E42</f>
        <v>0</v>
      </c>
    </row>
    <row r="51" spans="1:5" ht="13" x14ac:dyDescent="0.3">
      <c r="A51" s="208" t="s">
        <v>107</v>
      </c>
      <c r="B51" s="213" t="str">
        <f>'Stage 6'!N$7</f>
        <v>Exclude</v>
      </c>
      <c r="C51" s="208" t="str">
        <f>'Stage 6'!N$8</f>
        <v>FRENCH</v>
      </c>
      <c r="D51" s="204" t="s">
        <v>352</v>
      </c>
      <c r="E51" s="209">
        <f>E50/E49*100</f>
        <v>0</v>
      </c>
    </row>
    <row r="52" spans="1:5" ht="13" x14ac:dyDescent="0.3">
      <c r="A52" s="208" t="s">
        <v>107</v>
      </c>
      <c r="B52" s="213" t="str">
        <f>'Stage 6'!N$7</f>
        <v>Exclude</v>
      </c>
      <c r="C52" s="208" t="str">
        <f>'Stage 6'!N$8</f>
        <v>FRENCH</v>
      </c>
      <c r="D52" s="204" t="s">
        <v>360</v>
      </c>
      <c r="E52" s="210" t="e">
        <f>E49/E$7</f>
        <v>#DIV/0!</v>
      </c>
    </row>
    <row r="53" spans="1:5" ht="13" x14ac:dyDescent="0.3">
      <c r="A53" s="208" t="s">
        <v>107</v>
      </c>
      <c r="B53" s="213" t="str">
        <f>'Stage 6'!N$7</f>
        <v>Exclude</v>
      </c>
      <c r="C53" s="208" t="str">
        <f>'Stage 6'!N$8</f>
        <v>FRENCH</v>
      </c>
      <c r="D53" s="204" t="s">
        <v>361</v>
      </c>
      <c r="E53" s="209" t="e">
        <f>E50/E52</f>
        <v>#DIV/0!</v>
      </c>
    </row>
    <row r="54" spans="1:5" ht="13" x14ac:dyDescent="0.3">
      <c r="A54" s="206" t="s">
        <v>108</v>
      </c>
      <c r="B54" s="207" t="str">
        <f>'Stage 7'!P$7</f>
        <v>Exclude</v>
      </c>
      <c r="C54" s="207" t="str">
        <f>'Stage 7'!P$8</f>
        <v>FLYNN</v>
      </c>
      <c r="D54" s="5" t="s">
        <v>350</v>
      </c>
      <c r="E54" s="211">
        <f>'Stage 7'!Q34</f>
        <v>0</v>
      </c>
    </row>
    <row r="55" spans="1:5" ht="13" x14ac:dyDescent="0.3">
      <c r="A55" s="206" t="s">
        <v>108</v>
      </c>
      <c r="B55" s="207" t="str">
        <f>'Stage 7'!P$7</f>
        <v>Exclude</v>
      </c>
      <c r="C55" s="207" t="str">
        <f>'Stage 7'!P$8</f>
        <v>FLYNN</v>
      </c>
      <c r="D55" s="5" t="s">
        <v>358</v>
      </c>
      <c r="E55" s="5">
        <f>IF('Stage 7'!AQ5="y",'Stage 7'!BC13,'Stage 7'!CE6)</f>
        <v>700</v>
      </c>
    </row>
    <row r="56" spans="1:5" ht="13" x14ac:dyDescent="0.3">
      <c r="A56" s="206" t="s">
        <v>108</v>
      </c>
      <c r="B56" s="207" t="str">
        <f>'Stage 7'!P$7</f>
        <v>Exclude</v>
      </c>
      <c r="C56" s="207" t="str">
        <f>'Stage 7'!P$8</f>
        <v>FLYNN</v>
      </c>
      <c r="D56" s="5" t="s">
        <v>359</v>
      </c>
      <c r="E56" s="211">
        <f>E54-E48</f>
        <v>0</v>
      </c>
    </row>
    <row r="57" spans="1:5" ht="13" x14ac:dyDescent="0.3">
      <c r="A57" s="206" t="s">
        <v>108</v>
      </c>
      <c r="B57" s="207" t="str">
        <f>'Stage 7'!P$7</f>
        <v>Exclude</v>
      </c>
      <c r="C57" s="207" t="str">
        <f>'Stage 7'!P$8</f>
        <v>FLYNN</v>
      </c>
      <c r="D57" s="5" t="s">
        <v>352</v>
      </c>
      <c r="E57" s="211">
        <f>E56/E55*100</f>
        <v>0</v>
      </c>
    </row>
    <row r="58" spans="1:5" ht="13" x14ac:dyDescent="0.3">
      <c r="A58" s="206" t="s">
        <v>108</v>
      </c>
      <c r="B58" s="207" t="str">
        <f>'Stage 7'!P$7</f>
        <v>Exclude</v>
      </c>
      <c r="C58" s="207" t="str">
        <f>'Stage 7'!P$8</f>
        <v>FLYNN</v>
      </c>
      <c r="D58" s="5" t="s">
        <v>360</v>
      </c>
      <c r="E58" s="212" t="e">
        <f>E55/E$7</f>
        <v>#DIV/0!</v>
      </c>
    </row>
    <row r="59" spans="1:5" ht="13" x14ac:dyDescent="0.3">
      <c r="A59" s="206" t="s">
        <v>108</v>
      </c>
      <c r="B59" s="207" t="str">
        <f>'Stage 7'!P$7</f>
        <v>Exclude</v>
      </c>
      <c r="C59" s="207" t="str">
        <f>'Stage 7'!P$8</f>
        <v>FLYNN</v>
      </c>
      <c r="D59" s="5" t="s">
        <v>361</v>
      </c>
      <c r="E59" s="211" t="e">
        <f>E56/E58</f>
        <v>#DIV/0!</v>
      </c>
    </row>
    <row r="60" spans="1:5" ht="13" x14ac:dyDescent="0.3">
      <c r="A60" s="208" t="s">
        <v>109</v>
      </c>
      <c r="B60" s="213" t="str">
        <f>'Stage 8'!R$7</f>
        <v>Transfer</v>
      </c>
      <c r="C60" s="208" t="str">
        <f>'Stage 8'!R$8</f>
        <v>KENNEDY</v>
      </c>
      <c r="D60" s="204" t="s">
        <v>350</v>
      </c>
      <c r="E60" s="209">
        <f>'Stage 8'!S34</f>
        <v>0.77361111111111114</v>
      </c>
    </row>
    <row r="61" spans="1:5" ht="13" x14ac:dyDescent="0.3">
      <c r="A61" s="208" t="s">
        <v>109</v>
      </c>
      <c r="B61" s="213" t="str">
        <f>'Stage 8'!R$7</f>
        <v>Transfer</v>
      </c>
      <c r="C61" s="208" t="str">
        <f>'Stage 8'!R$8</f>
        <v>KENNEDY</v>
      </c>
      <c r="D61" s="204" t="s">
        <v>358</v>
      </c>
      <c r="E61" s="204">
        <f>IF('Stage 8'!AQ5="y",'Stage 8'!BC13,'Stage 8'!CE6)</f>
        <v>375</v>
      </c>
    </row>
    <row r="62" spans="1:5" ht="13" x14ac:dyDescent="0.3">
      <c r="A62" s="208" t="s">
        <v>109</v>
      </c>
      <c r="B62" s="213" t="str">
        <f>'Stage 8'!R$7</f>
        <v>Transfer</v>
      </c>
      <c r="C62" s="208" t="str">
        <f>'Stage 8'!R$8</f>
        <v>KENNEDY</v>
      </c>
      <c r="D62" s="204" t="s">
        <v>359</v>
      </c>
      <c r="E62" s="209">
        <f>E60-E54</f>
        <v>0.77361111111111114</v>
      </c>
    </row>
    <row r="63" spans="1:5" ht="13" x14ac:dyDescent="0.3">
      <c r="A63" s="208" t="s">
        <v>109</v>
      </c>
      <c r="B63" s="213" t="str">
        <f>'Stage 8'!R$7</f>
        <v>Transfer</v>
      </c>
      <c r="C63" s="208" t="str">
        <f>'Stage 8'!R$8</f>
        <v>KENNEDY</v>
      </c>
      <c r="D63" s="204" t="s">
        <v>352</v>
      </c>
      <c r="E63" s="209">
        <f>E62/E61*100</f>
        <v>0.20629629629629631</v>
      </c>
    </row>
    <row r="64" spans="1:5" ht="13" x14ac:dyDescent="0.3">
      <c r="A64" s="208" t="s">
        <v>109</v>
      </c>
      <c r="B64" s="213" t="str">
        <f>'Stage 8'!R$7</f>
        <v>Transfer</v>
      </c>
      <c r="C64" s="208" t="str">
        <f>'Stage 8'!R$8</f>
        <v>KENNEDY</v>
      </c>
      <c r="D64" s="204" t="s">
        <v>360</v>
      </c>
      <c r="E64" s="210" t="e">
        <f>E61/E$7</f>
        <v>#DIV/0!</v>
      </c>
    </row>
    <row r="65" spans="1:5" ht="13" x14ac:dyDescent="0.3">
      <c r="A65" s="208" t="s">
        <v>109</v>
      </c>
      <c r="B65" s="213" t="str">
        <f>'Stage 8'!R$7</f>
        <v>Transfer</v>
      </c>
      <c r="C65" s="208" t="str">
        <f>'Stage 8'!R$8</f>
        <v>KENNEDY</v>
      </c>
      <c r="D65" s="204" t="s">
        <v>361</v>
      </c>
      <c r="E65" s="209" t="e">
        <f>E62/E64</f>
        <v>#DIV/0!</v>
      </c>
    </row>
    <row r="66" spans="1:5" ht="13" x14ac:dyDescent="0.3">
      <c r="A66" s="206" t="s">
        <v>110</v>
      </c>
      <c r="B66" s="207" t="str">
        <f>'Stage 9'!T$7</f>
        <v>Exclude</v>
      </c>
      <c r="C66" s="206" t="str">
        <f>'Stage 9'!T$8</f>
        <v>PALMER</v>
      </c>
      <c r="D66" s="5" t="s">
        <v>350</v>
      </c>
      <c r="E66" s="211">
        <f>'Stage 9'!U34</f>
        <v>0</v>
      </c>
    </row>
    <row r="67" spans="1:5" ht="13" x14ac:dyDescent="0.3">
      <c r="A67" s="206" t="s">
        <v>110</v>
      </c>
      <c r="B67" s="207" t="str">
        <f>'Stage 9'!T$7</f>
        <v>Exclude</v>
      </c>
      <c r="C67" s="206" t="str">
        <f>'Stage 9'!T$8</f>
        <v>PALMER</v>
      </c>
      <c r="D67" s="5" t="s">
        <v>358</v>
      </c>
      <c r="E67" s="5">
        <f>IF('Stage 9'!AQ5="y",'Stage 9'!BC13,'Stage 9'!CE6)</f>
        <v>0</v>
      </c>
    </row>
    <row r="68" spans="1:5" ht="13" x14ac:dyDescent="0.3">
      <c r="A68" s="206" t="s">
        <v>110</v>
      </c>
      <c r="B68" s="207" t="str">
        <f>'Stage 9'!T$7</f>
        <v>Exclude</v>
      </c>
      <c r="C68" s="206" t="str">
        <f>'Stage 9'!T$8</f>
        <v>PALMER</v>
      </c>
      <c r="D68" s="5" t="s">
        <v>359</v>
      </c>
      <c r="E68" s="211">
        <f>E66-E60</f>
        <v>-0.77361111111111114</v>
      </c>
    </row>
    <row r="69" spans="1:5" ht="13" x14ac:dyDescent="0.3">
      <c r="A69" s="206" t="s">
        <v>110</v>
      </c>
      <c r="B69" s="207" t="str">
        <f>'Stage 9'!T$7</f>
        <v>Exclude</v>
      </c>
      <c r="C69" s="206" t="str">
        <f>'Stage 9'!T$8</f>
        <v>PALMER</v>
      </c>
      <c r="D69" s="5" t="s">
        <v>352</v>
      </c>
      <c r="E69" s="211" t="e">
        <f>E68/E67*100</f>
        <v>#DIV/0!</v>
      </c>
    </row>
    <row r="70" spans="1:5" ht="13" x14ac:dyDescent="0.3">
      <c r="A70" s="206" t="s">
        <v>110</v>
      </c>
      <c r="B70" s="207" t="str">
        <f>'Stage 9'!T$7</f>
        <v>Exclude</v>
      </c>
      <c r="C70" s="206" t="str">
        <f>'Stage 9'!T$8</f>
        <v>PALMER</v>
      </c>
      <c r="D70" s="5" t="s">
        <v>360</v>
      </c>
      <c r="E70" s="212" t="e">
        <f>E67/E$7</f>
        <v>#DIV/0!</v>
      </c>
    </row>
    <row r="71" spans="1:5" ht="13" x14ac:dyDescent="0.3">
      <c r="A71" s="206" t="s">
        <v>110</v>
      </c>
      <c r="B71" s="207" t="str">
        <f>'Stage 9'!T$7</f>
        <v>Exclude</v>
      </c>
      <c r="C71" s="206" t="str">
        <f>'Stage 9'!T$8</f>
        <v>PALMER</v>
      </c>
      <c r="D71" s="5" t="s">
        <v>361</v>
      </c>
      <c r="E71" s="211" t="e">
        <f>E68/E70</f>
        <v>#DIV/0!</v>
      </c>
    </row>
    <row r="72" spans="1:5" ht="13" x14ac:dyDescent="0.3">
      <c r="A72" s="208" t="s">
        <v>111</v>
      </c>
      <c r="B72" s="213">
        <f>'Stage 10'!V$7</f>
        <v>0</v>
      </c>
      <c r="C72" s="208">
        <f>'Stage 10'!V$8</f>
        <v>0</v>
      </c>
      <c r="D72" s="204" t="s">
        <v>350</v>
      </c>
      <c r="E72" s="209">
        <f>'Stage 10'!W34</f>
        <v>0</v>
      </c>
    </row>
    <row r="73" spans="1:5" ht="13" x14ac:dyDescent="0.3">
      <c r="A73" s="208" t="s">
        <v>111</v>
      </c>
      <c r="B73" s="213">
        <f>'Stage 10'!V$7</f>
        <v>0</v>
      </c>
      <c r="C73" s="208">
        <f>'Stage 10'!V$8</f>
        <v>0</v>
      </c>
      <c r="D73" s="204" t="s">
        <v>358</v>
      </c>
      <c r="E73" s="204">
        <f>IF('Stage 10'!AQ5="y",'Stage 10'!BC13,'Stage 10'!CE6)</f>
        <v>0</v>
      </c>
    </row>
    <row r="74" spans="1:5" ht="13" x14ac:dyDescent="0.3">
      <c r="A74" s="208" t="s">
        <v>111</v>
      </c>
      <c r="B74" s="213">
        <f>'Stage 10'!V$7</f>
        <v>0</v>
      </c>
      <c r="C74" s="208">
        <f>'Stage 10'!V$8</f>
        <v>0</v>
      </c>
      <c r="D74" s="204" t="s">
        <v>359</v>
      </c>
      <c r="E74" s="209">
        <f>E72-E66</f>
        <v>0</v>
      </c>
    </row>
    <row r="75" spans="1:5" ht="13" x14ac:dyDescent="0.3">
      <c r="A75" s="208" t="s">
        <v>111</v>
      </c>
      <c r="B75" s="213">
        <f>'Stage 10'!V$7</f>
        <v>0</v>
      </c>
      <c r="C75" s="208">
        <f>'Stage 10'!V$8</f>
        <v>0</v>
      </c>
      <c r="D75" s="204" t="s">
        <v>352</v>
      </c>
      <c r="E75" s="209" t="e">
        <f>E74/E73*100</f>
        <v>#DIV/0!</v>
      </c>
    </row>
    <row r="76" spans="1:5" ht="13" x14ac:dyDescent="0.3">
      <c r="A76" s="208" t="s">
        <v>111</v>
      </c>
      <c r="B76" s="213">
        <f>'Stage 10'!V$7</f>
        <v>0</v>
      </c>
      <c r="C76" s="208">
        <f>'Stage 10'!V$8</f>
        <v>0</v>
      </c>
      <c r="D76" s="204" t="s">
        <v>360</v>
      </c>
      <c r="E76" s="210" t="e">
        <f>E73/E$7</f>
        <v>#DIV/0!</v>
      </c>
    </row>
    <row r="77" spans="1:5" ht="13" x14ac:dyDescent="0.3">
      <c r="A77" s="208" t="s">
        <v>111</v>
      </c>
      <c r="B77" s="213">
        <f>'Stage 10'!V$7</f>
        <v>0</v>
      </c>
      <c r="C77" s="208">
        <f>'Stage 10'!V$8</f>
        <v>0</v>
      </c>
      <c r="D77" s="204" t="s">
        <v>361</v>
      </c>
      <c r="E77" s="209" t="e">
        <f>E74/E76</f>
        <v>#DIV/0!</v>
      </c>
    </row>
    <row r="78" spans="1:5" ht="13" x14ac:dyDescent="0.3">
      <c r="A78" s="206" t="s">
        <v>272</v>
      </c>
      <c r="B78" s="207">
        <f>'Stage 11'!H$53</f>
        <v>0</v>
      </c>
      <c r="C78" s="206">
        <f>'Stage 11'!H$54</f>
        <v>0</v>
      </c>
      <c r="D78" s="5" t="s">
        <v>350</v>
      </c>
      <c r="E78" s="211">
        <f>'Stage 11'!I80</f>
        <v>0</v>
      </c>
    </row>
    <row r="79" spans="1:5" ht="13" x14ac:dyDescent="0.3">
      <c r="A79" s="206" t="s">
        <v>272</v>
      </c>
      <c r="B79" s="207">
        <f>'Stage 11'!H$53</f>
        <v>0</v>
      </c>
      <c r="C79" s="206">
        <f>'Stage 11'!H$54</f>
        <v>0</v>
      </c>
      <c r="D79" s="5" t="s">
        <v>358</v>
      </c>
      <c r="E79" s="5">
        <f>IF('Stage 11'!AQ5="y",'Stage 11'!BC13,'Stage 11'!CE6)</f>
        <v>0</v>
      </c>
    </row>
    <row r="80" spans="1:5" ht="13" x14ac:dyDescent="0.3">
      <c r="A80" s="206" t="s">
        <v>272</v>
      </c>
      <c r="B80" s="207">
        <f>'Stage 11'!H$53</f>
        <v>0</v>
      </c>
      <c r="C80" s="206">
        <f>'Stage 11'!H$54</f>
        <v>0</v>
      </c>
      <c r="D80" s="5" t="s">
        <v>359</v>
      </c>
      <c r="E80" s="211">
        <f>E78-E72</f>
        <v>0</v>
      </c>
    </row>
    <row r="81" spans="1:5" ht="13" x14ac:dyDescent="0.3">
      <c r="A81" s="206" t="s">
        <v>272</v>
      </c>
      <c r="B81" s="207">
        <f>'Stage 11'!H$53</f>
        <v>0</v>
      </c>
      <c r="C81" s="206">
        <f>'Stage 11'!H$54</f>
        <v>0</v>
      </c>
      <c r="D81" s="5" t="s">
        <v>352</v>
      </c>
      <c r="E81" s="211" t="e">
        <f>E80/E79*100</f>
        <v>#DIV/0!</v>
      </c>
    </row>
    <row r="82" spans="1:5" ht="13" x14ac:dyDescent="0.3">
      <c r="A82" s="206" t="s">
        <v>272</v>
      </c>
      <c r="B82" s="207">
        <f>'Stage 11'!H$53</f>
        <v>0</v>
      </c>
      <c r="C82" s="206">
        <f>'Stage 11'!H$54</f>
        <v>0</v>
      </c>
      <c r="D82" s="5" t="s">
        <v>360</v>
      </c>
      <c r="E82" s="212" t="e">
        <f>E79/E$7</f>
        <v>#DIV/0!</v>
      </c>
    </row>
    <row r="83" spans="1:5" ht="13" x14ac:dyDescent="0.3">
      <c r="A83" s="206" t="s">
        <v>272</v>
      </c>
      <c r="B83" s="207">
        <f>'Stage 11'!H$53</f>
        <v>0</v>
      </c>
      <c r="C83" s="206">
        <f>'Stage 11'!H$54</f>
        <v>0</v>
      </c>
      <c r="D83" s="5" t="s">
        <v>361</v>
      </c>
      <c r="E83" s="211" t="e">
        <f>E80/E82</f>
        <v>#DIV/0!</v>
      </c>
    </row>
    <row r="84" spans="1:5" ht="13" x14ac:dyDescent="0.3">
      <c r="A84" s="208" t="s">
        <v>280</v>
      </c>
      <c r="B84" s="213">
        <f>'Stage 12'!J$53</f>
        <v>0</v>
      </c>
      <c r="C84" s="208">
        <f>'Stage 12'!J$54</f>
        <v>0</v>
      </c>
      <c r="D84" s="204" t="s">
        <v>350</v>
      </c>
      <c r="E84" s="209">
        <f>'Stage 12'!K80</f>
        <v>0</v>
      </c>
    </row>
    <row r="85" spans="1:5" ht="13" x14ac:dyDescent="0.3">
      <c r="A85" s="208" t="s">
        <v>280</v>
      </c>
      <c r="B85" s="213"/>
      <c r="C85" s="208"/>
      <c r="D85" s="204" t="s">
        <v>358</v>
      </c>
      <c r="E85" s="204">
        <f>IF('Stage 12'!AQ5="y",'Stage 12'!BC13,'Stage 12'!CE6)</f>
        <v>0</v>
      </c>
    </row>
    <row r="86" spans="1:5" ht="13" x14ac:dyDescent="0.3">
      <c r="A86" s="208" t="s">
        <v>280</v>
      </c>
      <c r="B86" s="213"/>
      <c r="C86" s="208"/>
      <c r="D86" s="204" t="s">
        <v>359</v>
      </c>
      <c r="E86" s="209">
        <f>E84-E78</f>
        <v>0</v>
      </c>
    </row>
    <row r="87" spans="1:5" ht="13" x14ac:dyDescent="0.3">
      <c r="A87" s="208" t="s">
        <v>280</v>
      </c>
      <c r="B87" s="213"/>
      <c r="C87" s="208"/>
      <c r="D87" s="204" t="s">
        <v>352</v>
      </c>
      <c r="E87" s="209" t="e">
        <f>E86/E85*100</f>
        <v>#DIV/0!</v>
      </c>
    </row>
    <row r="88" spans="1:5" ht="13" x14ac:dyDescent="0.3">
      <c r="A88" s="208" t="s">
        <v>280</v>
      </c>
      <c r="B88" s="213"/>
      <c r="C88" s="208"/>
      <c r="D88" s="204" t="s">
        <v>360</v>
      </c>
      <c r="E88" s="210" t="e">
        <f>E85/E$7</f>
        <v>#DIV/0!</v>
      </c>
    </row>
    <row r="89" spans="1:5" ht="13" x14ac:dyDescent="0.3">
      <c r="A89" s="208" t="s">
        <v>280</v>
      </c>
      <c r="B89" s="213"/>
      <c r="C89" s="208"/>
      <c r="D89" s="204" t="s">
        <v>361</v>
      </c>
      <c r="E89" s="209" t="e">
        <f>E86/E88</f>
        <v>#DIV/0!</v>
      </c>
    </row>
    <row r="90" spans="1:5" ht="13" x14ac:dyDescent="0.3">
      <c r="A90" s="206" t="s">
        <v>281</v>
      </c>
      <c r="B90" s="207">
        <f>'Stage 13'!L$53</f>
        <v>0</v>
      </c>
      <c r="C90" s="206">
        <f>'Stage 13'!L$54</f>
        <v>0</v>
      </c>
      <c r="D90" s="5" t="s">
        <v>350</v>
      </c>
      <c r="E90" s="211">
        <f>'Stage 13'!M80</f>
        <v>0</v>
      </c>
    </row>
    <row r="91" spans="1:5" ht="13" x14ac:dyDescent="0.3">
      <c r="A91" s="206" t="s">
        <v>281</v>
      </c>
      <c r="B91" s="207">
        <f>'Stage 13'!L$53</f>
        <v>0</v>
      </c>
      <c r="C91" s="206">
        <f>'Stage 13'!L$54</f>
        <v>0</v>
      </c>
      <c r="D91" s="5" t="s">
        <v>358</v>
      </c>
      <c r="E91" s="5">
        <f>IF('Stage 13'!AQ5="y",'Stage 13'!BC13,'Stage 13'!CE6)</f>
        <v>0</v>
      </c>
    </row>
    <row r="92" spans="1:5" ht="13" x14ac:dyDescent="0.3">
      <c r="A92" s="206" t="s">
        <v>281</v>
      </c>
      <c r="B92" s="207">
        <f>'Stage 13'!L$53</f>
        <v>0</v>
      </c>
      <c r="C92" s="206">
        <f>'Stage 13'!L$54</f>
        <v>0</v>
      </c>
      <c r="D92" s="5" t="s">
        <v>359</v>
      </c>
      <c r="E92" s="211">
        <f>E90-E84</f>
        <v>0</v>
      </c>
    </row>
    <row r="93" spans="1:5" ht="13" x14ac:dyDescent="0.3">
      <c r="A93" s="206" t="s">
        <v>281</v>
      </c>
      <c r="B93" s="207">
        <f>'Stage 13'!L$53</f>
        <v>0</v>
      </c>
      <c r="C93" s="206">
        <f>'Stage 13'!L$54</f>
        <v>0</v>
      </c>
      <c r="D93" s="5" t="s">
        <v>352</v>
      </c>
      <c r="E93" s="211" t="e">
        <f>E92/E91*100</f>
        <v>#DIV/0!</v>
      </c>
    </row>
    <row r="94" spans="1:5" ht="13" x14ac:dyDescent="0.3">
      <c r="A94" s="206" t="s">
        <v>281</v>
      </c>
      <c r="B94" s="207">
        <f>'Stage 13'!L$53</f>
        <v>0</v>
      </c>
      <c r="C94" s="206">
        <f>'Stage 13'!L$54</f>
        <v>0</v>
      </c>
      <c r="D94" s="5" t="s">
        <v>360</v>
      </c>
      <c r="E94" s="212" t="e">
        <f>E91/E$7</f>
        <v>#DIV/0!</v>
      </c>
    </row>
    <row r="95" spans="1:5" ht="13" x14ac:dyDescent="0.3">
      <c r="A95" s="206" t="s">
        <v>281</v>
      </c>
      <c r="B95" s="207">
        <f>'Stage 13'!L$53</f>
        <v>0</v>
      </c>
      <c r="C95" s="206">
        <f>'Stage 13'!L$54</f>
        <v>0</v>
      </c>
      <c r="D95" s="5" t="s">
        <v>361</v>
      </c>
      <c r="E95" s="211" t="e">
        <f>E92/E94</f>
        <v>#DIV/0!</v>
      </c>
    </row>
    <row r="96" spans="1:5" ht="13" x14ac:dyDescent="0.3">
      <c r="A96" s="208" t="s">
        <v>282</v>
      </c>
      <c r="B96" s="213">
        <f>'Stage 14'!N$53</f>
        <v>0</v>
      </c>
      <c r="C96" s="208">
        <f>'Stage 14'!N$54</f>
        <v>0</v>
      </c>
      <c r="D96" s="204" t="s">
        <v>350</v>
      </c>
      <c r="E96" s="209">
        <f>'Stage 14'!O80</f>
        <v>0</v>
      </c>
    </row>
    <row r="97" spans="1:5" ht="13" x14ac:dyDescent="0.3">
      <c r="A97" s="208" t="s">
        <v>282</v>
      </c>
      <c r="B97" s="213">
        <f>'Stage 14'!N$53</f>
        <v>0</v>
      </c>
      <c r="C97" s="208">
        <f>'Stage 14'!N$54</f>
        <v>0</v>
      </c>
      <c r="D97" s="204" t="s">
        <v>358</v>
      </c>
      <c r="E97" s="204">
        <f>IF('Stage 14'!AQ5="y",'Stage 14'!BC13,'Stage 14'!CE6)</f>
        <v>0</v>
      </c>
    </row>
    <row r="98" spans="1:5" ht="13" x14ac:dyDescent="0.3">
      <c r="A98" s="208" t="s">
        <v>282</v>
      </c>
      <c r="B98" s="213">
        <f>'Stage 14'!N$53</f>
        <v>0</v>
      </c>
      <c r="C98" s="208">
        <f>'Stage 14'!N$54</f>
        <v>0</v>
      </c>
      <c r="D98" s="204" t="s">
        <v>359</v>
      </c>
      <c r="E98" s="209">
        <f>E96-E90</f>
        <v>0</v>
      </c>
    </row>
    <row r="99" spans="1:5" ht="13" x14ac:dyDescent="0.3">
      <c r="A99" s="208" t="s">
        <v>282</v>
      </c>
      <c r="B99" s="213">
        <f>'Stage 14'!N$53</f>
        <v>0</v>
      </c>
      <c r="C99" s="208">
        <f>'Stage 14'!N$54</f>
        <v>0</v>
      </c>
      <c r="D99" s="204" t="s">
        <v>352</v>
      </c>
      <c r="E99" s="209" t="e">
        <f>E98/E97*100</f>
        <v>#DIV/0!</v>
      </c>
    </row>
    <row r="100" spans="1:5" ht="13" x14ac:dyDescent="0.3">
      <c r="A100" s="208" t="s">
        <v>282</v>
      </c>
      <c r="B100" s="213">
        <f>'Stage 14'!N$53</f>
        <v>0</v>
      </c>
      <c r="C100" s="208">
        <f>'Stage 14'!N$54</f>
        <v>0</v>
      </c>
      <c r="D100" s="204" t="s">
        <v>360</v>
      </c>
      <c r="E100" s="210" t="e">
        <f>E97/E$7</f>
        <v>#DIV/0!</v>
      </c>
    </row>
    <row r="101" spans="1:5" ht="13" x14ac:dyDescent="0.3">
      <c r="A101" s="208" t="s">
        <v>282</v>
      </c>
      <c r="B101" s="213">
        <f>'Stage 14'!N$53</f>
        <v>0</v>
      </c>
      <c r="C101" s="208">
        <f>'Stage 14'!N$54</f>
        <v>0</v>
      </c>
      <c r="D101" s="204" t="s">
        <v>361</v>
      </c>
      <c r="E101" s="209" t="e">
        <f>E98/E100</f>
        <v>#DIV/0!</v>
      </c>
    </row>
    <row r="102" spans="1:5" ht="13" x14ac:dyDescent="0.3">
      <c r="A102" s="206" t="s">
        <v>283</v>
      </c>
      <c r="B102" s="207">
        <f>'Stage 15'!P$53</f>
        <v>0</v>
      </c>
      <c r="C102" s="206">
        <f>'Stage 15'!P$54</f>
        <v>0</v>
      </c>
      <c r="D102" s="5" t="s">
        <v>350</v>
      </c>
      <c r="E102" s="211">
        <f>'Stage 15'!Q80</f>
        <v>0</v>
      </c>
    </row>
    <row r="103" spans="1:5" ht="13" x14ac:dyDescent="0.3">
      <c r="A103" s="206" t="s">
        <v>283</v>
      </c>
      <c r="B103" s="207">
        <f>'Stage 15'!P$53</f>
        <v>0</v>
      </c>
      <c r="C103" s="206">
        <f>'Stage 15'!P$54</f>
        <v>0</v>
      </c>
      <c r="D103" s="5" t="s">
        <v>358</v>
      </c>
      <c r="E103" s="5">
        <f>IF('Stage 15'!AQ5="y",'Stage 15'!BC13,'Stage 15'!CE6)</f>
        <v>0</v>
      </c>
    </row>
    <row r="104" spans="1:5" ht="13" x14ac:dyDescent="0.3">
      <c r="A104" s="206" t="s">
        <v>283</v>
      </c>
      <c r="B104" s="207">
        <f>'Stage 15'!P$53</f>
        <v>0</v>
      </c>
      <c r="C104" s="206">
        <f>'Stage 15'!P$54</f>
        <v>0</v>
      </c>
      <c r="D104" s="5" t="s">
        <v>359</v>
      </c>
      <c r="E104" s="211">
        <f>E102-E96</f>
        <v>0</v>
      </c>
    </row>
    <row r="105" spans="1:5" ht="13" x14ac:dyDescent="0.3">
      <c r="A105" s="206" t="s">
        <v>283</v>
      </c>
      <c r="B105" s="207">
        <f>'Stage 15'!P$53</f>
        <v>0</v>
      </c>
      <c r="C105" s="206">
        <f>'Stage 15'!P$54</f>
        <v>0</v>
      </c>
      <c r="D105" s="5" t="s">
        <v>352</v>
      </c>
      <c r="E105" s="211" t="e">
        <f>E104/E103*100</f>
        <v>#DIV/0!</v>
      </c>
    </row>
    <row r="106" spans="1:5" ht="13" x14ac:dyDescent="0.3">
      <c r="A106" s="206" t="s">
        <v>283</v>
      </c>
      <c r="B106" s="207">
        <f>'Stage 15'!P$53</f>
        <v>0</v>
      </c>
      <c r="C106" s="206">
        <f>'Stage 15'!P$54</f>
        <v>0</v>
      </c>
      <c r="D106" s="5" t="s">
        <v>360</v>
      </c>
      <c r="E106" s="212" t="e">
        <f>E103/E$7</f>
        <v>#DIV/0!</v>
      </c>
    </row>
    <row r="107" spans="1:5" ht="13" x14ac:dyDescent="0.3">
      <c r="A107" s="206" t="s">
        <v>283</v>
      </c>
      <c r="B107" s="207">
        <f>'Stage 15'!P$53</f>
        <v>0</v>
      </c>
      <c r="C107" s="206">
        <f>'Stage 15'!P$54</f>
        <v>0</v>
      </c>
      <c r="D107" s="5" t="s">
        <v>361</v>
      </c>
      <c r="E107" s="211" t="e">
        <f>E104/E106</f>
        <v>#DIV/0!</v>
      </c>
    </row>
    <row r="108" spans="1:5" ht="13" x14ac:dyDescent="0.3">
      <c r="A108" s="208" t="s">
        <v>284</v>
      </c>
      <c r="B108" s="213">
        <f>'Stage 16'!R$53</f>
        <v>0</v>
      </c>
      <c r="C108" s="208">
        <f>'Stage 16'!R$54</f>
        <v>0</v>
      </c>
      <c r="D108" s="204" t="s">
        <v>350</v>
      </c>
      <c r="E108" s="209">
        <f>'Stage 16'!S80</f>
        <v>0</v>
      </c>
    </row>
    <row r="109" spans="1:5" ht="13" x14ac:dyDescent="0.3">
      <c r="A109" s="208" t="s">
        <v>284</v>
      </c>
      <c r="B109" s="213">
        <f>'Stage 16'!R$53</f>
        <v>0</v>
      </c>
      <c r="C109" s="208">
        <f>'Stage 16'!R$54</f>
        <v>0</v>
      </c>
      <c r="D109" s="204" t="s">
        <v>358</v>
      </c>
      <c r="E109" s="204">
        <f>IF('Stage 16'!AQ5="y",'Stage 16'!BC13,'Stage 16'!CE6)</f>
        <v>0</v>
      </c>
    </row>
    <row r="110" spans="1:5" ht="13" x14ac:dyDescent="0.3">
      <c r="A110" s="208" t="s">
        <v>284</v>
      </c>
      <c r="B110" s="213">
        <f>'Stage 16'!R$53</f>
        <v>0</v>
      </c>
      <c r="C110" s="208">
        <f>'Stage 16'!R$54</f>
        <v>0</v>
      </c>
      <c r="D110" s="204" t="s">
        <v>359</v>
      </c>
      <c r="E110" s="209">
        <f>E108-E102</f>
        <v>0</v>
      </c>
    </row>
    <row r="111" spans="1:5" ht="13" x14ac:dyDescent="0.3">
      <c r="A111" s="208" t="s">
        <v>284</v>
      </c>
      <c r="B111" s="213">
        <f>'Stage 16'!R$53</f>
        <v>0</v>
      </c>
      <c r="C111" s="208">
        <f>'Stage 16'!R$54</f>
        <v>0</v>
      </c>
      <c r="D111" s="204" t="s">
        <v>352</v>
      </c>
      <c r="E111" s="209" t="e">
        <f>E110/E109*100</f>
        <v>#DIV/0!</v>
      </c>
    </row>
    <row r="112" spans="1:5" ht="13" x14ac:dyDescent="0.3">
      <c r="A112" s="208" t="s">
        <v>284</v>
      </c>
      <c r="B112" s="213">
        <f>'Stage 16'!R$53</f>
        <v>0</v>
      </c>
      <c r="C112" s="208">
        <f>'Stage 16'!R$54</f>
        <v>0</v>
      </c>
      <c r="D112" s="204" t="s">
        <v>360</v>
      </c>
      <c r="E112" s="210" t="e">
        <f>E109/E$7</f>
        <v>#DIV/0!</v>
      </c>
    </row>
    <row r="113" spans="1:5" ht="13" x14ac:dyDescent="0.3">
      <c r="A113" s="208" t="s">
        <v>284</v>
      </c>
      <c r="B113" s="213">
        <f>'Stage 16'!R$53</f>
        <v>0</v>
      </c>
      <c r="C113" s="208">
        <f>'Stage 16'!R$54</f>
        <v>0</v>
      </c>
      <c r="D113" s="204" t="s">
        <v>361</v>
      </c>
      <c r="E113" s="209" t="e">
        <f>E110/E112</f>
        <v>#DIV/0!</v>
      </c>
    </row>
    <row r="114" spans="1:5" ht="13" x14ac:dyDescent="0.3">
      <c r="A114" s="206" t="s">
        <v>285</v>
      </c>
      <c r="B114" s="207">
        <f>'Stage 17'!T$53</f>
        <v>0</v>
      </c>
      <c r="C114" s="206">
        <f>'Stage 17'!T$54</f>
        <v>0</v>
      </c>
      <c r="D114" s="5" t="s">
        <v>350</v>
      </c>
      <c r="E114" s="211">
        <f>'Stage 17'!U80</f>
        <v>0</v>
      </c>
    </row>
    <row r="115" spans="1:5" ht="13" x14ac:dyDescent="0.3">
      <c r="A115" s="206" t="s">
        <v>285</v>
      </c>
      <c r="B115" s="207">
        <f>'Stage 17'!T$53</f>
        <v>0</v>
      </c>
      <c r="C115" s="206">
        <f>'Stage 17'!T$54</f>
        <v>0</v>
      </c>
      <c r="D115" s="5" t="s">
        <v>358</v>
      </c>
      <c r="E115" s="5">
        <f>IF('Stage 17'!AQ5="y",'Stage 17'!BC13,'Stage 17'!CE6)</f>
        <v>0</v>
      </c>
    </row>
    <row r="116" spans="1:5" ht="13" x14ac:dyDescent="0.3">
      <c r="A116" s="206" t="s">
        <v>285</v>
      </c>
      <c r="B116" s="207">
        <f>'Stage 17'!T$53</f>
        <v>0</v>
      </c>
      <c r="C116" s="206">
        <f>'Stage 17'!T$54</f>
        <v>0</v>
      </c>
      <c r="D116" s="5" t="s">
        <v>359</v>
      </c>
      <c r="E116" s="211">
        <f>E114-E108</f>
        <v>0</v>
      </c>
    </row>
    <row r="117" spans="1:5" ht="13" x14ac:dyDescent="0.3">
      <c r="A117" s="206" t="s">
        <v>285</v>
      </c>
      <c r="B117" s="207">
        <f>'Stage 17'!T$53</f>
        <v>0</v>
      </c>
      <c r="C117" s="206">
        <f>'Stage 17'!T$54</f>
        <v>0</v>
      </c>
      <c r="D117" s="5" t="s">
        <v>352</v>
      </c>
      <c r="E117" s="211" t="e">
        <f>E116/E115*100</f>
        <v>#DIV/0!</v>
      </c>
    </row>
    <row r="118" spans="1:5" ht="13" x14ac:dyDescent="0.3">
      <c r="A118" s="206" t="s">
        <v>285</v>
      </c>
      <c r="B118" s="207">
        <f>'Stage 17'!T$53</f>
        <v>0</v>
      </c>
      <c r="C118" s="206">
        <f>'Stage 17'!T$54</f>
        <v>0</v>
      </c>
      <c r="D118" s="5" t="s">
        <v>360</v>
      </c>
      <c r="E118" s="212" t="e">
        <f>E115/E$7</f>
        <v>#DIV/0!</v>
      </c>
    </row>
    <row r="119" spans="1:5" ht="13" x14ac:dyDescent="0.3">
      <c r="A119" s="206" t="s">
        <v>285</v>
      </c>
      <c r="B119" s="207">
        <f>'Stage 17'!T$53</f>
        <v>0</v>
      </c>
      <c r="C119" s="206">
        <f>'Stage 17'!T$54</f>
        <v>0</v>
      </c>
      <c r="D119" s="5" t="s">
        <v>361</v>
      </c>
      <c r="E119" s="211" t="e">
        <f>E116/E118</f>
        <v>#DIV/0!</v>
      </c>
    </row>
    <row r="120" spans="1:5" ht="13" x14ac:dyDescent="0.3">
      <c r="A120" s="208" t="s">
        <v>286</v>
      </c>
      <c r="B120" s="213">
        <f>'Stage 18'!V$53</f>
        <v>0</v>
      </c>
      <c r="C120" s="208">
        <f>'Stage 18'!V$54</f>
        <v>0</v>
      </c>
      <c r="D120" s="204" t="s">
        <v>350</v>
      </c>
      <c r="E120" s="209">
        <f>'Stage 18'!W80</f>
        <v>0</v>
      </c>
    </row>
    <row r="121" spans="1:5" ht="13" x14ac:dyDescent="0.3">
      <c r="A121" s="208" t="s">
        <v>286</v>
      </c>
      <c r="B121" s="213">
        <f>'Stage 18'!V$53</f>
        <v>0</v>
      </c>
      <c r="C121" s="208">
        <f>'Stage 18'!V$54</f>
        <v>0</v>
      </c>
      <c r="D121" s="204" t="s">
        <v>358</v>
      </c>
      <c r="E121" s="204">
        <f>IF('Stage 18'!AQ5="y",'Stage 18'!BC13,'Stage 18'!CE6)</f>
        <v>0</v>
      </c>
    </row>
    <row r="122" spans="1:5" ht="13" x14ac:dyDescent="0.3">
      <c r="A122" s="208" t="s">
        <v>286</v>
      </c>
      <c r="B122" s="213">
        <f>'Stage 18'!V$53</f>
        <v>0</v>
      </c>
      <c r="C122" s="208">
        <f>'Stage 18'!V$54</f>
        <v>0</v>
      </c>
      <c r="D122" s="204" t="s">
        <v>359</v>
      </c>
      <c r="E122" s="209">
        <f>E120-E114</f>
        <v>0</v>
      </c>
    </row>
    <row r="123" spans="1:5" ht="13" x14ac:dyDescent="0.3">
      <c r="A123" s="208" t="s">
        <v>286</v>
      </c>
      <c r="B123" s="213">
        <f>'Stage 18'!V$53</f>
        <v>0</v>
      </c>
      <c r="C123" s="208">
        <f>'Stage 18'!V$54</f>
        <v>0</v>
      </c>
      <c r="D123" s="204" t="s">
        <v>352</v>
      </c>
      <c r="E123" s="209" t="e">
        <f>E122/E121*100</f>
        <v>#DIV/0!</v>
      </c>
    </row>
    <row r="124" spans="1:5" ht="13" x14ac:dyDescent="0.3">
      <c r="A124" s="208" t="s">
        <v>286</v>
      </c>
      <c r="B124" s="213">
        <f>'Stage 18'!V$53</f>
        <v>0</v>
      </c>
      <c r="C124" s="208">
        <f>'Stage 18'!V$54</f>
        <v>0</v>
      </c>
      <c r="D124" s="204" t="s">
        <v>360</v>
      </c>
      <c r="E124" s="210" t="e">
        <f>E121/E$7</f>
        <v>#DIV/0!</v>
      </c>
    </row>
    <row r="125" spans="1:5" ht="13" x14ac:dyDescent="0.3">
      <c r="A125" s="208" t="s">
        <v>286</v>
      </c>
      <c r="B125" s="213">
        <f>'Stage 18'!V$53</f>
        <v>0</v>
      </c>
      <c r="C125" s="208">
        <f>'Stage 18'!V$54</f>
        <v>0</v>
      </c>
      <c r="D125" s="204" t="s">
        <v>361</v>
      </c>
      <c r="E125" s="209" t="e">
        <f>E122/E124</f>
        <v>#DIV/0!</v>
      </c>
    </row>
  </sheetData>
  <sheetProtection sheet="1" objects="1" scenarios="1"/>
  <protectedRanges>
    <protectedRange sqref="E7" name="Range1"/>
  </protectedRanges>
  <autoFilter ref="A9:G126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DL241"/>
  <sheetViews>
    <sheetView showGridLines="0" showZeros="0" zoomScale="75" workbookViewId="0">
      <pane ySplit="6" topLeftCell="A7" activePane="bottomLeft" state="frozen"/>
      <selection pane="bottomLeft" activeCell="N11" sqref="N11:R12"/>
    </sheetView>
  </sheetViews>
  <sheetFormatPr defaultRowHeight="12.5" x14ac:dyDescent="0.25"/>
  <cols>
    <col min="1" max="1" width="32.08984375" customWidth="1"/>
    <col min="3" max="3" width="23.08984375" customWidth="1"/>
    <col min="4" max="4" width="10.90625" customWidth="1"/>
    <col min="6" max="6" width="11.54296875" customWidth="1"/>
    <col min="8" max="8" width="2.453125" customWidth="1"/>
    <col min="9" max="9" width="2.08984375" customWidth="1"/>
    <col min="10" max="10" width="19.08984375" customWidth="1"/>
    <col min="11" max="11" width="42.453125" customWidth="1"/>
    <col min="13" max="13" width="4.6328125" customWidth="1"/>
    <col min="14" max="14" width="15.453125" customWidth="1"/>
    <col min="15" max="15" width="11.54296875" customWidth="1"/>
    <col min="16" max="16" width="5.54296875" customWidth="1"/>
  </cols>
  <sheetData>
    <row r="1" spans="1:105" ht="18.5" thickBot="1" x14ac:dyDescent="0.45">
      <c r="A1" s="10" t="s">
        <v>64</v>
      </c>
      <c r="B1" s="295" t="str">
        <f>'Basic Input'!C4</f>
        <v>Local Council Elections 2023</v>
      </c>
      <c r="C1" s="297"/>
      <c r="D1" s="297"/>
      <c r="E1" s="296"/>
      <c r="DA1">
        <v>1</v>
      </c>
    </row>
    <row r="2" spans="1:105" ht="13" thickBot="1" x14ac:dyDescent="0.3">
      <c r="J2" s="59" t="s">
        <v>65</v>
      </c>
      <c r="K2" s="60"/>
      <c r="L2" s="29">
        <f>'Basic Input'!C31</f>
        <v>16838</v>
      </c>
    </row>
    <row r="3" spans="1:105" ht="18.5" thickBot="1" x14ac:dyDescent="0.45">
      <c r="A3" s="36" t="str">
        <f>'Basic Input'!B6</f>
        <v>District Electoral Area of</v>
      </c>
      <c r="B3" s="295" t="str">
        <f>'Basic Input'!C6</f>
        <v>Lisburn South</v>
      </c>
      <c r="C3" s="296"/>
      <c r="E3" s="293" t="s">
        <v>62</v>
      </c>
      <c r="F3" s="294"/>
      <c r="G3" s="29">
        <f>'Basic Input'!C30</f>
        <v>6</v>
      </c>
      <c r="J3" s="61" t="s">
        <v>66</v>
      </c>
      <c r="K3" s="19"/>
      <c r="L3" s="20">
        <f>D7</f>
        <v>7595</v>
      </c>
    </row>
    <row r="4" spans="1:105" ht="13" thickBot="1" x14ac:dyDescent="0.3">
      <c r="E4" s="293" t="s">
        <v>67</v>
      </c>
      <c r="F4" s="294"/>
      <c r="G4" s="21">
        <f>TRUNC(L31/(G3+1))+1</f>
        <v>1071</v>
      </c>
      <c r="J4" s="61" t="s">
        <v>68</v>
      </c>
      <c r="K4" s="19"/>
      <c r="L4" s="20">
        <f>L35</f>
        <v>7595</v>
      </c>
    </row>
    <row r="5" spans="1:105" ht="13" thickBot="1" x14ac:dyDescent="0.3">
      <c r="J5" s="51" t="s">
        <v>69</v>
      </c>
      <c r="K5" s="62"/>
      <c r="L5" s="58">
        <f>IF(L2=0,0,L3/L2*100)</f>
        <v>45.106307162370825</v>
      </c>
      <c r="M5" t="s">
        <v>70</v>
      </c>
    </row>
    <row r="6" spans="1:105" ht="40.5" customHeight="1" x14ac:dyDescent="0.25">
      <c r="A6" s="15"/>
      <c r="B6" s="16"/>
      <c r="C6" s="236"/>
      <c r="D6" s="236"/>
      <c r="E6" s="17"/>
      <c r="F6" s="91"/>
    </row>
    <row r="7" spans="1:105" ht="13.5" thickBot="1" x14ac:dyDescent="0.35">
      <c r="A7" s="238" t="s">
        <v>71</v>
      </c>
      <c r="B7" s="239"/>
      <c r="C7" s="240"/>
      <c r="D7" s="240">
        <f>SUM(D8:D160)</f>
        <v>7595</v>
      </c>
      <c r="E7" s="241"/>
    </row>
    <row r="8" spans="1:105" ht="13.5" thickBot="1" x14ac:dyDescent="0.35">
      <c r="A8" s="298" t="s">
        <v>72</v>
      </c>
      <c r="B8" s="299"/>
      <c r="C8" s="300"/>
      <c r="D8" s="237">
        <v>7595</v>
      </c>
      <c r="J8" s="52" t="s">
        <v>73</v>
      </c>
      <c r="K8" s="53"/>
      <c r="L8" s="54"/>
      <c r="N8" s="267" t="s">
        <v>74</v>
      </c>
      <c r="O8" s="268"/>
      <c r="P8" s="268"/>
      <c r="Q8" s="268"/>
      <c r="R8" s="269"/>
    </row>
    <row r="9" spans="1:105" ht="13" thickBot="1" x14ac:dyDescent="0.3">
      <c r="A9" s="224" t="s">
        <v>75</v>
      </c>
      <c r="B9" s="225"/>
      <c r="C9" s="225"/>
      <c r="D9" s="225"/>
      <c r="E9" s="225"/>
      <c r="J9" s="11" t="s">
        <v>44</v>
      </c>
      <c r="K9" s="55" t="s">
        <v>45</v>
      </c>
      <c r="L9" s="54" t="s">
        <v>76</v>
      </c>
      <c r="N9" s="270"/>
      <c r="O9" s="271"/>
      <c r="P9" s="271"/>
      <c r="Q9" s="271"/>
      <c r="R9" s="272"/>
    </row>
    <row r="10" spans="1:105" ht="13" thickBot="1" x14ac:dyDescent="0.3">
      <c r="A10" s="225"/>
      <c r="B10" s="225"/>
      <c r="C10" s="225"/>
      <c r="D10" s="225"/>
      <c r="E10" s="225">
        <f t="shared" ref="E10:E38" si="0">D10-C10</f>
        <v>0</v>
      </c>
      <c r="J10" s="106" t="str">
        <f>'Basic Input'!B9</f>
        <v>EWING</v>
      </c>
      <c r="K10" s="106" t="str">
        <f>'Basic Input'!C9</f>
        <v>D.U.P.</v>
      </c>
      <c r="L10" s="64">
        <v>1139</v>
      </c>
    </row>
    <row r="11" spans="1:105" x14ac:dyDescent="0.25">
      <c r="A11" s="225"/>
      <c r="B11" s="225"/>
      <c r="C11" s="225"/>
      <c r="D11" s="225"/>
      <c r="E11" s="225">
        <f t="shared" si="0"/>
        <v>0</v>
      </c>
      <c r="J11" s="75" t="str">
        <f>'Basic Input'!B10</f>
        <v>FLYNN</v>
      </c>
      <c r="K11" s="75" t="str">
        <f>'Basic Input'!C10</f>
        <v>Sinn Féin</v>
      </c>
      <c r="L11" s="64">
        <v>493</v>
      </c>
      <c r="N11" s="267" t="s">
        <v>77</v>
      </c>
      <c r="O11" s="268"/>
      <c r="P11" s="268"/>
      <c r="Q11" s="268"/>
      <c r="R11" s="269"/>
    </row>
    <row r="12" spans="1:105" ht="13" thickBot="1" x14ac:dyDescent="0.3">
      <c r="A12" s="225"/>
      <c r="B12" s="225"/>
      <c r="C12" s="225"/>
      <c r="D12" s="225"/>
      <c r="E12" s="225">
        <f t="shared" si="0"/>
        <v>0</v>
      </c>
      <c r="J12" s="75" t="str">
        <f>'Basic Input'!B11</f>
        <v>FRENCH</v>
      </c>
      <c r="K12" s="75" t="str">
        <f>'Basic Input'!C11</f>
        <v xml:space="preserve">SDLP </v>
      </c>
      <c r="L12" s="64">
        <v>472</v>
      </c>
      <c r="N12" s="270"/>
      <c r="O12" s="271"/>
      <c r="P12" s="271"/>
      <c r="Q12" s="271"/>
      <c r="R12" s="272"/>
    </row>
    <row r="13" spans="1:105" x14ac:dyDescent="0.25">
      <c r="A13" s="225"/>
      <c r="B13" s="225"/>
      <c r="C13" s="225"/>
      <c r="D13" s="225"/>
      <c r="E13" s="225">
        <f t="shared" si="0"/>
        <v>0</v>
      </c>
      <c r="J13" s="75" t="str">
        <f>'Basic Input'!B12</f>
        <v>GIVAN</v>
      </c>
      <c r="K13" s="75" t="str">
        <f>'Basic Input'!C12</f>
        <v>D.U.P.</v>
      </c>
      <c r="L13" s="64">
        <v>1038</v>
      </c>
    </row>
    <row r="14" spans="1:105" x14ac:dyDescent="0.25">
      <c r="A14" s="225"/>
      <c r="B14" s="225"/>
      <c r="C14" s="224"/>
      <c r="D14" s="225"/>
      <c r="E14" s="225"/>
      <c r="J14" s="75" t="str">
        <f>'Basic Input'!B13</f>
        <v>GREHAN</v>
      </c>
      <c r="K14" s="75" t="str">
        <f>'Basic Input'!C13</f>
        <v>Alliance Party</v>
      </c>
      <c r="L14" s="64">
        <v>1111</v>
      </c>
    </row>
    <row r="15" spans="1:105" ht="13" thickBot="1" x14ac:dyDescent="0.3">
      <c r="A15" s="225"/>
      <c r="B15" s="225"/>
      <c r="C15" s="225"/>
      <c r="D15" s="225"/>
      <c r="E15" s="225">
        <f t="shared" si="0"/>
        <v>0</v>
      </c>
      <c r="J15" s="75" t="str">
        <f>'Basic Input'!B14</f>
        <v>KENNEDY</v>
      </c>
      <c r="K15" s="75" t="str">
        <f>'Basic Input'!C14</f>
        <v>Alliance Party</v>
      </c>
      <c r="L15" s="64">
        <v>674</v>
      </c>
    </row>
    <row r="16" spans="1:105" ht="13" thickBot="1" x14ac:dyDescent="0.3">
      <c r="A16" s="225"/>
      <c r="B16" s="225"/>
      <c r="C16" s="225"/>
      <c r="D16" s="225"/>
      <c r="E16" s="225">
        <f t="shared" si="0"/>
        <v>0</v>
      </c>
      <c r="J16" s="75" t="str">
        <f>'Basic Input'!B15</f>
        <v>MCEVOY</v>
      </c>
      <c r="K16" s="75" t="str">
        <f>'Basic Input'!C15</f>
        <v xml:space="preserve">TUV </v>
      </c>
      <c r="L16" s="64">
        <v>387</v>
      </c>
      <c r="N16" t="s">
        <v>78</v>
      </c>
      <c r="Q16" s="183">
        <v>0.33333333333333331</v>
      </c>
      <c r="R16" s="74" t="s">
        <v>79</v>
      </c>
    </row>
    <row r="17" spans="1:18" x14ac:dyDescent="0.25">
      <c r="A17" s="225"/>
      <c r="B17" s="225"/>
      <c r="C17" s="225"/>
      <c r="D17" s="225"/>
      <c r="E17" s="225">
        <f t="shared" si="0"/>
        <v>0</v>
      </c>
      <c r="J17" s="75" t="str">
        <f>'Basic Input'!B16</f>
        <v>MITCHELL</v>
      </c>
      <c r="K17" s="75" t="str">
        <f>'Basic Input'!C16</f>
        <v>UUP</v>
      </c>
      <c r="L17" s="64">
        <v>870</v>
      </c>
    </row>
    <row r="18" spans="1:18" ht="13" thickBot="1" x14ac:dyDescent="0.3">
      <c r="A18" s="225"/>
      <c r="B18" s="225"/>
      <c r="C18" s="225"/>
      <c r="D18" s="225"/>
      <c r="E18" s="225">
        <f t="shared" si="0"/>
        <v>0</v>
      </c>
      <c r="J18" s="75" t="str">
        <f>'Basic Input'!B17</f>
        <v>PALMER</v>
      </c>
      <c r="K18" s="75" t="str">
        <f>'Basic Input'!C17</f>
        <v>UUP</v>
      </c>
      <c r="L18" s="64">
        <v>625</v>
      </c>
    </row>
    <row r="19" spans="1:18" ht="13" thickBot="1" x14ac:dyDescent="0.3">
      <c r="A19" s="225"/>
      <c r="B19" s="225"/>
      <c r="C19" s="225"/>
      <c r="D19" s="225"/>
      <c r="E19" s="225">
        <f t="shared" si="0"/>
        <v>0</v>
      </c>
      <c r="J19" s="75" t="str">
        <f>'Basic Input'!B18</f>
        <v>PORTER</v>
      </c>
      <c r="K19" s="75" t="str">
        <f>'Basic Input'!C18</f>
        <v>D.U.P.</v>
      </c>
      <c r="L19" s="64">
        <v>687</v>
      </c>
      <c r="N19" t="s">
        <v>80</v>
      </c>
      <c r="Q19" s="183">
        <v>0.3923611111111111</v>
      </c>
      <c r="R19" s="74" t="s">
        <v>79</v>
      </c>
    </row>
    <row r="20" spans="1:18" ht="13" thickBot="1" x14ac:dyDescent="0.3">
      <c r="A20" s="225"/>
      <c r="B20" s="225"/>
      <c r="C20" s="225"/>
      <c r="D20" s="225"/>
      <c r="E20" s="225">
        <f t="shared" si="0"/>
        <v>0</v>
      </c>
      <c r="J20" s="75">
        <f>'Basic Input'!B19</f>
        <v>0</v>
      </c>
      <c r="K20" s="75">
        <f>'Basic Input'!C19</f>
        <v>0</v>
      </c>
      <c r="L20" s="64"/>
    </row>
    <row r="21" spans="1:18" ht="13" thickBot="1" x14ac:dyDescent="0.3">
      <c r="A21" s="225"/>
      <c r="B21" s="225"/>
      <c r="C21" s="225"/>
      <c r="D21" s="225"/>
      <c r="E21" s="225">
        <f t="shared" si="0"/>
        <v>0</v>
      </c>
      <c r="J21" s="75">
        <f>'Basic Input'!B20</f>
        <v>0</v>
      </c>
      <c r="K21" s="75">
        <f>'Basic Input'!C20</f>
        <v>0</v>
      </c>
      <c r="L21" s="64"/>
      <c r="N21" s="288" t="str">
        <f>IF(L35=D7,"Calculations OK","Check Count")</f>
        <v>Calculations OK</v>
      </c>
      <c r="O21" s="289"/>
      <c r="P21" s="289"/>
      <c r="Q21" s="290"/>
    </row>
    <row r="22" spans="1:18" ht="13" thickBot="1" x14ac:dyDescent="0.3">
      <c r="A22" s="225"/>
      <c r="B22" s="225"/>
      <c r="C22" s="225"/>
      <c r="D22" s="225"/>
      <c r="E22" s="225">
        <f t="shared" si="0"/>
        <v>0</v>
      </c>
      <c r="J22" s="75">
        <f>'Basic Input'!B21</f>
        <v>0</v>
      </c>
      <c r="K22" s="75">
        <f>'Basic Input'!C21</f>
        <v>0</v>
      </c>
      <c r="L22" s="64"/>
      <c r="R22" s="184"/>
    </row>
    <row r="23" spans="1:18" ht="13" thickBot="1" x14ac:dyDescent="0.3">
      <c r="A23" s="225"/>
      <c r="B23" s="225"/>
      <c r="C23" s="225"/>
      <c r="D23" s="225"/>
      <c r="E23" s="225">
        <f t="shared" si="0"/>
        <v>0</v>
      </c>
      <c r="J23" s="75">
        <f>'Basic Input'!B22</f>
        <v>0</v>
      </c>
      <c r="K23" s="75">
        <f>'Basic Input'!C22</f>
        <v>0</v>
      </c>
      <c r="L23" s="64"/>
      <c r="N23" s="74" t="s">
        <v>81</v>
      </c>
      <c r="Q23" s="183">
        <v>0.39861111111111108</v>
      </c>
    </row>
    <row r="24" spans="1:18" ht="13" thickBot="1" x14ac:dyDescent="0.3">
      <c r="A24" s="225"/>
      <c r="B24" s="225"/>
      <c r="C24" s="225"/>
      <c r="D24" s="225"/>
      <c r="E24" s="225">
        <f t="shared" si="0"/>
        <v>0</v>
      </c>
      <c r="J24" s="75">
        <f>'Basic Input'!B23</f>
        <v>0</v>
      </c>
      <c r="K24" s="75">
        <f>'Basic Input'!C23</f>
        <v>0</v>
      </c>
      <c r="L24" s="64"/>
    </row>
    <row r="25" spans="1:18" ht="13" thickBot="1" x14ac:dyDescent="0.3">
      <c r="A25" s="225"/>
      <c r="B25" s="225"/>
      <c r="C25" s="225"/>
      <c r="D25" s="225"/>
      <c r="E25" s="225">
        <f t="shared" si="0"/>
        <v>0</v>
      </c>
      <c r="J25" s="75">
        <f>'Basic Input'!B24</f>
        <v>0</v>
      </c>
      <c r="K25" s="75">
        <f>'Basic Input'!C24</f>
        <v>0</v>
      </c>
      <c r="L25" s="64"/>
      <c r="N25" t="s">
        <v>82</v>
      </c>
      <c r="Q25" s="183">
        <v>0.5083333333333333</v>
      </c>
    </row>
    <row r="26" spans="1:18" x14ac:dyDescent="0.25">
      <c r="A26" s="225"/>
      <c r="B26" s="225"/>
      <c r="C26" s="225"/>
      <c r="D26" s="225"/>
      <c r="E26" s="225">
        <f t="shared" si="0"/>
        <v>0</v>
      </c>
      <c r="J26" s="75">
        <f>'Basic Input'!B25</f>
        <v>0</v>
      </c>
      <c r="K26" s="75">
        <f>'Basic Input'!C25</f>
        <v>0</v>
      </c>
      <c r="L26" s="64"/>
    </row>
    <row r="27" spans="1:18" x14ac:dyDescent="0.25">
      <c r="A27" s="225"/>
      <c r="B27" s="225"/>
      <c r="C27" s="225"/>
      <c r="D27" s="225"/>
      <c r="E27" s="225">
        <f t="shared" si="0"/>
        <v>0</v>
      </c>
      <c r="J27" s="75">
        <f>'Basic Input'!B26</f>
        <v>0</v>
      </c>
      <c r="K27" s="75">
        <f>'Basic Input'!C26</f>
        <v>0</v>
      </c>
      <c r="L27" s="64"/>
    </row>
    <row r="28" spans="1:18" x14ac:dyDescent="0.25">
      <c r="A28" s="225"/>
      <c r="B28" s="225"/>
      <c r="C28" s="225"/>
      <c r="D28" s="225"/>
      <c r="E28" s="225">
        <f t="shared" si="0"/>
        <v>0</v>
      </c>
      <c r="J28" s="75">
        <f>'Basic Input'!B27</f>
        <v>0</v>
      </c>
      <c r="K28" s="75">
        <f>'Basic Input'!C27</f>
        <v>0</v>
      </c>
      <c r="L28" s="64"/>
    </row>
    <row r="29" spans="1:18" ht="13" thickBot="1" x14ac:dyDescent="0.3">
      <c r="A29" s="225"/>
      <c r="B29" s="225"/>
      <c r="C29" s="225"/>
      <c r="D29" s="225"/>
      <c r="E29" s="225">
        <f t="shared" si="0"/>
        <v>0</v>
      </c>
      <c r="J29" s="107">
        <f>'Basic Input'!B28</f>
        <v>0</v>
      </c>
      <c r="K29" s="107">
        <f>'Basic Input'!C28</f>
        <v>0</v>
      </c>
      <c r="L29" s="64"/>
    </row>
    <row r="30" spans="1:18" ht="13" thickBot="1" x14ac:dyDescent="0.3">
      <c r="A30" s="225"/>
      <c r="B30" s="225"/>
      <c r="C30" s="225"/>
      <c r="D30" s="225"/>
      <c r="E30" s="225">
        <f t="shared" si="0"/>
        <v>0</v>
      </c>
    </row>
    <row r="31" spans="1:18" ht="13" thickBot="1" x14ac:dyDescent="0.3">
      <c r="A31" s="225"/>
      <c r="B31" s="225"/>
      <c r="C31" s="225"/>
      <c r="D31" s="225"/>
      <c r="E31" s="225">
        <f t="shared" si="0"/>
        <v>0</v>
      </c>
      <c r="J31" s="291" t="s">
        <v>83</v>
      </c>
      <c r="K31" s="292"/>
      <c r="L31" s="12">
        <f>SUM(L10:L29)</f>
        <v>7496</v>
      </c>
    </row>
    <row r="32" spans="1:18" ht="13" thickBot="1" x14ac:dyDescent="0.3">
      <c r="A32" s="225"/>
      <c r="B32" s="225"/>
      <c r="C32" s="225"/>
      <c r="D32" s="225"/>
      <c r="E32" s="225">
        <f t="shared" si="0"/>
        <v>0</v>
      </c>
    </row>
    <row r="33" spans="1:15" ht="13" thickBot="1" x14ac:dyDescent="0.3">
      <c r="A33" s="225"/>
      <c r="B33" s="225"/>
      <c r="C33" s="225"/>
      <c r="D33" s="225"/>
      <c r="E33" s="225">
        <f t="shared" si="0"/>
        <v>0</v>
      </c>
      <c r="J33" s="291" t="s">
        <v>84</v>
      </c>
      <c r="K33" s="292"/>
      <c r="L33" s="57">
        <v>99</v>
      </c>
    </row>
    <row r="34" spans="1:15" ht="13" thickBot="1" x14ac:dyDescent="0.3">
      <c r="A34" s="225"/>
      <c r="B34" s="225"/>
      <c r="C34" s="225"/>
      <c r="D34" s="225"/>
      <c r="E34" s="225">
        <f t="shared" si="0"/>
        <v>0</v>
      </c>
    </row>
    <row r="35" spans="1:15" ht="13" thickBot="1" x14ac:dyDescent="0.3">
      <c r="A35" s="225"/>
      <c r="B35" s="225"/>
      <c r="C35" s="225"/>
      <c r="D35" s="225"/>
      <c r="E35" s="225">
        <f t="shared" si="0"/>
        <v>0</v>
      </c>
      <c r="J35" s="291" t="s">
        <v>85</v>
      </c>
      <c r="K35" s="292"/>
      <c r="L35" s="12">
        <f>L31+L33</f>
        <v>7595</v>
      </c>
    </row>
    <row r="36" spans="1:15" x14ac:dyDescent="0.25">
      <c r="A36" s="225"/>
      <c r="B36" s="225"/>
      <c r="C36" s="225"/>
      <c r="D36" s="225"/>
      <c r="E36" s="225">
        <f t="shared" si="0"/>
        <v>0</v>
      </c>
      <c r="O36" t="str">
        <f>IF(L3-L35&gt;0,CONCATENATE("Discrepancy is ",L3-L35),"")</f>
        <v/>
      </c>
    </row>
    <row r="37" spans="1:15" x14ac:dyDescent="0.25">
      <c r="A37" s="225"/>
      <c r="B37" s="225"/>
      <c r="C37" s="225"/>
      <c r="D37" s="225"/>
      <c r="E37" s="225">
        <f t="shared" si="0"/>
        <v>0</v>
      </c>
    </row>
    <row r="38" spans="1:15" x14ac:dyDescent="0.25">
      <c r="A38" s="225"/>
      <c r="B38" s="225"/>
      <c r="C38" s="225"/>
      <c r="D38" s="225"/>
      <c r="E38" s="225">
        <f t="shared" si="0"/>
        <v>0</v>
      </c>
    </row>
    <row r="39" spans="1:15" x14ac:dyDescent="0.25">
      <c r="A39" s="225"/>
      <c r="B39" s="225"/>
      <c r="C39" s="225"/>
      <c r="D39" s="225"/>
      <c r="E39" s="225">
        <f t="shared" ref="E39:E70" si="1">D39-C39</f>
        <v>0</v>
      </c>
    </row>
    <row r="40" spans="1:15" x14ac:dyDescent="0.25">
      <c r="A40" s="225"/>
      <c r="B40" s="225"/>
      <c r="C40" s="225"/>
      <c r="D40" s="225"/>
      <c r="E40" s="225">
        <f t="shared" si="1"/>
        <v>0</v>
      </c>
    </row>
    <row r="41" spans="1:15" x14ac:dyDescent="0.25">
      <c r="A41" s="225"/>
      <c r="B41" s="225"/>
      <c r="C41" s="225"/>
      <c r="D41" s="225"/>
      <c r="E41" s="225">
        <f t="shared" si="1"/>
        <v>0</v>
      </c>
    </row>
    <row r="42" spans="1:15" x14ac:dyDescent="0.25">
      <c r="A42" s="225"/>
      <c r="B42" s="225"/>
      <c r="C42" s="225"/>
      <c r="D42" s="225"/>
      <c r="E42" s="225">
        <f t="shared" si="1"/>
        <v>0</v>
      </c>
    </row>
    <row r="43" spans="1:15" x14ac:dyDescent="0.25">
      <c r="A43" s="225"/>
      <c r="B43" s="225"/>
      <c r="C43" s="225"/>
      <c r="D43" s="225"/>
      <c r="E43" s="225">
        <f t="shared" si="1"/>
        <v>0</v>
      </c>
    </row>
    <row r="44" spans="1:15" x14ac:dyDescent="0.25">
      <c r="A44" s="225"/>
      <c r="B44" s="225"/>
      <c r="C44" s="225"/>
      <c r="D44" s="225"/>
      <c r="E44" s="225">
        <f t="shared" si="1"/>
        <v>0</v>
      </c>
    </row>
    <row r="45" spans="1:15" x14ac:dyDescent="0.25">
      <c r="A45" s="225"/>
      <c r="B45" s="225"/>
      <c r="C45" s="225"/>
      <c r="D45" s="225"/>
      <c r="E45" s="225">
        <f t="shared" si="1"/>
        <v>0</v>
      </c>
    </row>
    <row r="46" spans="1:15" x14ac:dyDescent="0.25">
      <c r="A46" s="225"/>
      <c r="B46" s="225"/>
      <c r="C46" s="225"/>
      <c r="D46" s="225"/>
      <c r="E46" s="225">
        <f t="shared" si="1"/>
        <v>0</v>
      </c>
    </row>
    <row r="47" spans="1:15" x14ac:dyDescent="0.25">
      <c r="A47" s="225"/>
      <c r="B47" s="225"/>
      <c r="C47" s="225"/>
      <c r="D47" s="225"/>
      <c r="E47" s="225">
        <f t="shared" si="1"/>
        <v>0</v>
      </c>
    </row>
    <row r="48" spans="1:15" x14ac:dyDescent="0.25">
      <c r="A48" s="225"/>
      <c r="B48" s="225"/>
      <c r="C48" s="225"/>
      <c r="D48" s="225"/>
      <c r="E48" s="225">
        <f t="shared" si="1"/>
        <v>0</v>
      </c>
    </row>
    <row r="49" spans="1:5" x14ac:dyDescent="0.25">
      <c r="A49" s="225"/>
      <c r="B49" s="225"/>
      <c r="C49" s="225"/>
      <c r="D49" s="225"/>
      <c r="E49" s="225">
        <f t="shared" si="1"/>
        <v>0</v>
      </c>
    </row>
    <row r="50" spans="1:5" x14ac:dyDescent="0.25">
      <c r="A50" s="225"/>
      <c r="B50" s="225"/>
      <c r="C50" s="225"/>
      <c r="D50" s="225"/>
      <c r="E50" s="225">
        <f t="shared" si="1"/>
        <v>0</v>
      </c>
    </row>
    <row r="51" spans="1:5" x14ac:dyDescent="0.25">
      <c r="A51" s="225"/>
      <c r="B51" s="225"/>
      <c r="C51" s="225"/>
      <c r="D51" s="225"/>
      <c r="E51" s="225">
        <f t="shared" si="1"/>
        <v>0</v>
      </c>
    </row>
    <row r="52" spans="1:5" x14ac:dyDescent="0.25">
      <c r="A52" s="225"/>
      <c r="B52" s="225"/>
      <c r="C52" s="225"/>
      <c r="D52" s="225"/>
      <c r="E52" s="225">
        <f t="shared" si="1"/>
        <v>0</v>
      </c>
    </row>
    <row r="53" spans="1:5" x14ac:dyDescent="0.25">
      <c r="A53" s="225"/>
      <c r="B53" s="225"/>
      <c r="C53" s="225"/>
      <c r="D53" s="225"/>
      <c r="E53" s="225">
        <f t="shared" si="1"/>
        <v>0</v>
      </c>
    </row>
    <row r="54" spans="1:5" x14ac:dyDescent="0.25">
      <c r="A54" s="225"/>
      <c r="B54" s="225"/>
      <c r="C54" s="225"/>
      <c r="D54" s="225"/>
      <c r="E54" s="225">
        <f t="shared" si="1"/>
        <v>0</v>
      </c>
    </row>
    <row r="55" spans="1:5" x14ac:dyDescent="0.25">
      <c r="A55" s="225"/>
      <c r="B55" s="225"/>
      <c r="C55" s="225"/>
      <c r="D55" s="225"/>
      <c r="E55" s="225">
        <f t="shared" si="1"/>
        <v>0</v>
      </c>
    </row>
    <row r="56" spans="1:5" x14ac:dyDescent="0.25">
      <c r="A56" s="225"/>
      <c r="B56" s="225"/>
      <c r="C56" s="225"/>
      <c r="D56" s="225"/>
      <c r="E56" s="225">
        <f t="shared" si="1"/>
        <v>0</v>
      </c>
    </row>
    <row r="57" spans="1:5" x14ac:dyDescent="0.25">
      <c r="A57" s="225"/>
      <c r="B57" s="225"/>
      <c r="C57" s="225"/>
      <c r="D57" s="225"/>
      <c r="E57" s="225">
        <f t="shared" si="1"/>
        <v>0</v>
      </c>
    </row>
    <row r="58" spans="1:5" x14ac:dyDescent="0.25">
      <c r="A58" s="225"/>
      <c r="B58" s="225"/>
      <c r="C58" s="225"/>
      <c r="D58" s="225"/>
      <c r="E58" s="225">
        <f t="shared" si="1"/>
        <v>0</v>
      </c>
    </row>
    <row r="59" spans="1:5" x14ac:dyDescent="0.25">
      <c r="A59" s="225"/>
      <c r="B59" s="225"/>
      <c r="C59" s="225"/>
      <c r="D59" s="225"/>
      <c r="E59" s="225">
        <f t="shared" si="1"/>
        <v>0</v>
      </c>
    </row>
    <row r="60" spans="1:5" x14ac:dyDescent="0.25">
      <c r="A60" s="225"/>
      <c r="B60" s="225"/>
      <c r="C60" s="225"/>
      <c r="D60" s="225"/>
      <c r="E60" s="225">
        <f t="shared" si="1"/>
        <v>0</v>
      </c>
    </row>
    <row r="61" spans="1:5" x14ac:dyDescent="0.25">
      <c r="A61" s="225"/>
      <c r="B61" s="225"/>
      <c r="C61" s="225"/>
      <c r="D61" s="225"/>
      <c r="E61" s="225">
        <f t="shared" si="1"/>
        <v>0</v>
      </c>
    </row>
    <row r="62" spans="1:5" x14ac:dyDescent="0.25">
      <c r="A62" s="225"/>
      <c r="B62" s="225"/>
      <c r="C62" s="225"/>
      <c r="D62" s="225"/>
      <c r="E62" s="225">
        <f t="shared" si="1"/>
        <v>0</v>
      </c>
    </row>
    <row r="63" spans="1:5" x14ac:dyDescent="0.25">
      <c r="A63" s="225"/>
      <c r="B63" s="225"/>
      <c r="C63" s="225"/>
      <c r="D63" s="225"/>
      <c r="E63" s="225">
        <f t="shared" si="1"/>
        <v>0</v>
      </c>
    </row>
    <row r="64" spans="1:5" x14ac:dyDescent="0.25">
      <c r="A64" s="225"/>
      <c r="B64" s="225"/>
      <c r="C64" s="225"/>
      <c r="D64" s="225"/>
      <c r="E64" s="225">
        <f t="shared" si="1"/>
        <v>0</v>
      </c>
    </row>
    <row r="65" spans="1:5" x14ac:dyDescent="0.25">
      <c r="A65" s="225"/>
      <c r="B65" s="225"/>
      <c r="C65" s="225"/>
      <c r="D65" s="225"/>
      <c r="E65" s="225">
        <f t="shared" si="1"/>
        <v>0</v>
      </c>
    </row>
    <row r="66" spans="1:5" x14ac:dyDescent="0.25">
      <c r="A66" s="225"/>
      <c r="B66" s="225"/>
      <c r="C66" s="225"/>
      <c r="D66" s="225"/>
      <c r="E66" s="225">
        <f t="shared" si="1"/>
        <v>0</v>
      </c>
    </row>
    <row r="67" spans="1:5" x14ac:dyDescent="0.25">
      <c r="A67" s="225"/>
      <c r="B67" s="225"/>
      <c r="C67" s="225"/>
      <c r="D67" s="225"/>
      <c r="E67" s="225">
        <f t="shared" si="1"/>
        <v>0</v>
      </c>
    </row>
    <row r="68" spans="1:5" x14ac:dyDescent="0.25">
      <c r="A68" s="225"/>
      <c r="B68" s="225"/>
      <c r="C68" s="225"/>
      <c r="D68" s="225"/>
      <c r="E68" s="225">
        <f t="shared" si="1"/>
        <v>0</v>
      </c>
    </row>
    <row r="69" spans="1:5" x14ac:dyDescent="0.25">
      <c r="A69" s="225"/>
      <c r="B69" s="225"/>
      <c r="C69" s="225"/>
      <c r="D69" s="225"/>
      <c r="E69" s="225">
        <f t="shared" si="1"/>
        <v>0</v>
      </c>
    </row>
    <row r="70" spans="1:5" x14ac:dyDescent="0.25">
      <c r="A70" s="225"/>
      <c r="B70" s="225"/>
      <c r="C70" s="225"/>
      <c r="D70" s="225"/>
      <c r="E70" s="225">
        <f t="shared" si="1"/>
        <v>0</v>
      </c>
    </row>
    <row r="71" spans="1:5" x14ac:dyDescent="0.25">
      <c r="A71" s="225"/>
      <c r="B71" s="225"/>
      <c r="C71" s="225"/>
      <c r="D71" s="225"/>
      <c r="E71" s="225">
        <f t="shared" ref="E71:E102" si="2">D71-C71</f>
        <v>0</v>
      </c>
    </row>
    <row r="72" spans="1:5" x14ac:dyDescent="0.25">
      <c r="A72" s="225"/>
      <c r="B72" s="225"/>
      <c r="C72" s="225"/>
      <c r="D72" s="225"/>
      <c r="E72" s="225">
        <f t="shared" si="2"/>
        <v>0</v>
      </c>
    </row>
    <row r="73" spans="1:5" x14ac:dyDescent="0.25">
      <c r="A73" s="225"/>
      <c r="B73" s="225"/>
      <c r="C73" s="225"/>
      <c r="D73" s="225"/>
      <c r="E73" s="225">
        <f t="shared" si="2"/>
        <v>0</v>
      </c>
    </row>
    <row r="74" spans="1:5" x14ac:dyDescent="0.25">
      <c r="A74" s="225"/>
      <c r="B74" s="225"/>
      <c r="C74" s="225"/>
      <c r="D74" s="225"/>
      <c r="E74" s="225">
        <f t="shared" si="2"/>
        <v>0</v>
      </c>
    </row>
    <row r="75" spans="1:5" x14ac:dyDescent="0.25">
      <c r="A75" s="225"/>
      <c r="B75" s="225"/>
      <c r="C75" s="225"/>
      <c r="D75" s="225"/>
      <c r="E75" s="225">
        <f t="shared" si="2"/>
        <v>0</v>
      </c>
    </row>
    <row r="76" spans="1:5" x14ac:dyDescent="0.25">
      <c r="A76" s="225"/>
      <c r="B76" s="225"/>
      <c r="C76" s="225"/>
      <c r="D76" s="225"/>
      <c r="E76" s="225">
        <f t="shared" si="2"/>
        <v>0</v>
      </c>
    </row>
    <row r="77" spans="1:5" x14ac:dyDescent="0.25">
      <c r="A77" s="225"/>
      <c r="B77" s="225"/>
      <c r="C77" s="225"/>
      <c r="D77" s="225"/>
      <c r="E77" s="225">
        <f t="shared" si="2"/>
        <v>0</v>
      </c>
    </row>
    <row r="78" spans="1:5" x14ac:dyDescent="0.25">
      <c r="A78" s="225"/>
      <c r="B78" s="225"/>
      <c r="C78" s="225"/>
      <c r="D78" s="225"/>
      <c r="E78" s="225">
        <f t="shared" si="2"/>
        <v>0</v>
      </c>
    </row>
    <row r="79" spans="1:5" x14ac:dyDescent="0.25">
      <c r="A79" s="225"/>
      <c r="B79" s="225"/>
      <c r="C79" s="225"/>
      <c r="D79" s="225"/>
      <c r="E79" s="225">
        <f t="shared" si="2"/>
        <v>0</v>
      </c>
    </row>
    <row r="80" spans="1:5" x14ac:dyDescent="0.25">
      <c r="A80" s="225"/>
      <c r="B80" s="225"/>
      <c r="C80" s="225"/>
      <c r="D80" s="225"/>
      <c r="E80" s="225">
        <f t="shared" si="2"/>
        <v>0</v>
      </c>
    </row>
    <row r="81" spans="1:5" x14ac:dyDescent="0.25">
      <c r="A81" s="225"/>
      <c r="B81" s="225"/>
      <c r="C81" s="225"/>
      <c r="D81" s="225"/>
      <c r="E81" s="225">
        <f t="shared" si="2"/>
        <v>0</v>
      </c>
    </row>
    <row r="82" spans="1:5" x14ac:dyDescent="0.25">
      <c r="A82" s="225"/>
      <c r="B82" s="225"/>
      <c r="C82" s="225"/>
      <c r="D82" s="225"/>
      <c r="E82" s="225">
        <f t="shared" si="2"/>
        <v>0</v>
      </c>
    </row>
    <row r="83" spans="1:5" x14ac:dyDescent="0.25">
      <c r="A83" s="225"/>
      <c r="B83" s="225"/>
      <c r="C83" s="225"/>
      <c r="D83" s="225"/>
      <c r="E83" s="225">
        <f t="shared" si="2"/>
        <v>0</v>
      </c>
    </row>
    <row r="84" spans="1:5" x14ac:dyDescent="0.25">
      <c r="A84" s="225"/>
      <c r="B84" s="225"/>
      <c r="C84" s="225"/>
      <c r="D84" s="225"/>
      <c r="E84" s="225">
        <f t="shared" si="2"/>
        <v>0</v>
      </c>
    </row>
    <row r="85" spans="1:5" x14ac:dyDescent="0.25">
      <c r="A85" s="225"/>
      <c r="B85" s="225"/>
      <c r="C85" s="225"/>
      <c r="D85" s="225"/>
      <c r="E85" s="225">
        <f t="shared" si="2"/>
        <v>0</v>
      </c>
    </row>
    <row r="86" spans="1:5" x14ac:dyDescent="0.25">
      <c r="A86" s="225"/>
      <c r="B86" s="225"/>
      <c r="C86" s="225"/>
      <c r="D86" s="225"/>
      <c r="E86" s="225">
        <f t="shared" si="2"/>
        <v>0</v>
      </c>
    </row>
    <row r="87" spans="1:5" x14ac:dyDescent="0.25">
      <c r="A87" s="225"/>
      <c r="B87" s="225"/>
      <c r="C87" s="225"/>
      <c r="D87" s="225"/>
      <c r="E87" s="225">
        <f t="shared" si="2"/>
        <v>0</v>
      </c>
    </row>
    <row r="88" spans="1:5" x14ac:dyDescent="0.25">
      <c r="A88" s="225"/>
      <c r="B88" s="225"/>
      <c r="C88" s="225"/>
      <c r="D88" s="225"/>
      <c r="E88" s="225">
        <f t="shared" si="2"/>
        <v>0</v>
      </c>
    </row>
    <row r="89" spans="1:5" x14ac:dyDescent="0.25">
      <c r="A89" s="225"/>
      <c r="B89" s="225"/>
      <c r="C89" s="225"/>
      <c r="D89" s="225"/>
      <c r="E89" s="225">
        <f t="shared" si="2"/>
        <v>0</v>
      </c>
    </row>
    <row r="90" spans="1:5" x14ac:dyDescent="0.25">
      <c r="A90" s="225"/>
      <c r="B90" s="225"/>
      <c r="C90" s="225"/>
      <c r="D90" s="225"/>
      <c r="E90" s="225">
        <f t="shared" si="2"/>
        <v>0</v>
      </c>
    </row>
    <row r="91" spans="1:5" x14ac:dyDescent="0.25">
      <c r="A91" s="225"/>
      <c r="B91" s="225"/>
      <c r="C91" s="225"/>
      <c r="D91" s="225"/>
      <c r="E91" s="225">
        <f t="shared" si="2"/>
        <v>0</v>
      </c>
    </row>
    <row r="92" spans="1:5" x14ac:dyDescent="0.25">
      <c r="A92" s="225"/>
      <c r="B92" s="225"/>
      <c r="C92" s="225"/>
      <c r="D92" s="225"/>
      <c r="E92" s="225">
        <f t="shared" si="2"/>
        <v>0</v>
      </c>
    </row>
    <row r="93" spans="1:5" x14ac:dyDescent="0.25">
      <c r="A93" s="225"/>
      <c r="B93" s="225"/>
      <c r="C93" s="225"/>
      <c r="D93" s="225"/>
      <c r="E93" s="225">
        <f t="shared" si="2"/>
        <v>0</v>
      </c>
    </row>
    <row r="94" spans="1:5" x14ac:dyDescent="0.25">
      <c r="A94" s="225"/>
      <c r="B94" s="225"/>
      <c r="C94" s="225"/>
      <c r="D94" s="225"/>
      <c r="E94" s="225">
        <f t="shared" si="2"/>
        <v>0</v>
      </c>
    </row>
    <row r="95" spans="1:5" x14ac:dyDescent="0.25">
      <c r="A95" s="225"/>
      <c r="B95" s="225"/>
      <c r="C95" s="225"/>
      <c r="D95" s="225"/>
      <c r="E95" s="225">
        <f t="shared" si="2"/>
        <v>0</v>
      </c>
    </row>
    <row r="96" spans="1:5" x14ac:dyDescent="0.25">
      <c r="A96" s="225"/>
      <c r="B96" s="225"/>
      <c r="C96" s="225"/>
      <c r="D96" s="225"/>
      <c r="E96" s="225">
        <f t="shared" si="2"/>
        <v>0</v>
      </c>
    </row>
    <row r="97" spans="1:5" x14ac:dyDescent="0.25">
      <c r="A97" s="225"/>
      <c r="B97" s="225"/>
      <c r="C97" s="225"/>
      <c r="D97" s="225"/>
      <c r="E97" s="225">
        <f t="shared" si="2"/>
        <v>0</v>
      </c>
    </row>
    <row r="98" spans="1:5" x14ac:dyDescent="0.25">
      <c r="A98" s="225"/>
      <c r="B98" s="225"/>
      <c r="C98" s="225"/>
      <c r="D98" s="225"/>
      <c r="E98" s="225">
        <f t="shared" si="2"/>
        <v>0</v>
      </c>
    </row>
    <row r="99" spans="1:5" x14ac:dyDescent="0.25">
      <c r="A99" s="225"/>
      <c r="B99" s="225"/>
      <c r="C99" s="225"/>
      <c r="D99" s="225"/>
      <c r="E99" s="225">
        <f t="shared" si="2"/>
        <v>0</v>
      </c>
    </row>
    <row r="100" spans="1:5" x14ac:dyDescent="0.25">
      <c r="A100" s="225"/>
      <c r="B100" s="225"/>
      <c r="C100" s="225"/>
      <c r="D100" s="225"/>
      <c r="E100" s="225">
        <f t="shared" si="2"/>
        <v>0</v>
      </c>
    </row>
    <row r="101" spans="1:5" x14ac:dyDescent="0.25">
      <c r="A101" s="225"/>
      <c r="B101" s="225"/>
      <c r="C101" s="225"/>
      <c r="D101" s="225"/>
      <c r="E101" s="225">
        <f t="shared" si="2"/>
        <v>0</v>
      </c>
    </row>
    <row r="102" spans="1:5" x14ac:dyDescent="0.25">
      <c r="A102" s="225"/>
      <c r="B102" s="225"/>
      <c r="C102" s="225"/>
      <c r="D102" s="225"/>
      <c r="E102" s="225">
        <f t="shared" si="2"/>
        <v>0</v>
      </c>
    </row>
    <row r="103" spans="1:5" x14ac:dyDescent="0.25">
      <c r="A103" s="225"/>
      <c r="B103" s="225"/>
      <c r="C103" s="225"/>
      <c r="D103" s="225"/>
      <c r="E103" s="225">
        <f t="shared" ref="E103:E134" si="3">D103-C103</f>
        <v>0</v>
      </c>
    </row>
    <row r="104" spans="1:5" x14ac:dyDescent="0.25">
      <c r="A104" s="225"/>
      <c r="B104" s="225"/>
      <c r="C104" s="225"/>
      <c r="D104" s="225"/>
      <c r="E104" s="225">
        <f t="shared" si="3"/>
        <v>0</v>
      </c>
    </row>
    <row r="105" spans="1:5" x14ac:dyDescent="0.25">
      <c r="A105" s="225"/>
      <c r="B105" s="225"/>
      <c r="C105" s="225"/>
      <c r="D105" s="225"/>
      <c r="E105" s="225">
        <f t="shared" si="3"/>
        <v>0</v>
      </c>
    </row>
    <row r="106" spans="1:5" x14ac:dyDescent="0.25">
      <c r="A106" s="225"/>
      <c r="B106" s="225"/>
      <c r="C106" s="225"/>
      <c r="D106" s="225"/>
      <c r="E106" s="225">
        <f t="shared" si="3"/>
        <v>0</v>
      </c>
    </row>
    <row r="107" spans="1:5" x14ac:dyDescent="0.25">
      <c r="A107" s="225"/>
      <c r="B107" s="225"/>
      <c r="C107" s="225"/>
      <c r="D107" s="225"/>
      <c r="E107" s="225">
        <f t="shared" si="3"/>
        <v>0</v>
      </c>
    </row>
    <row r="108" spans="1:5" x14ac:dyDescent="0.25">
      <c r="A108" s="225"/>
      <c r="B108" s="225"/>
      <c r="C108" s="225"/>
      <c r="D108" s="225"/>
      <c r="E108" s="225">
        <f t="shared" si="3"/>
        <v>0</v>
      </c>
    </row>
    <row r="109" spans="1:5" x14ac:dyDescent="0.25">
      <c r="A109" s="225"/>
      <c r="B109" s="225"/>
      <c r="C109" s="225"/>
      <c r="D109" s="225"/>
      <c r="E109" s="225">
        <f t="shared" si="3"/>
        <v>0</v>
      </c>
    </row>
    <row r="110" spans="1:5" x14ac:dyDescent="0.25">
      <c r="A110" s="225"/>
      <c r="B110" s="225"/>
      <c r="C110" s="225"/>
      <c r="D110" s="225"/>
      <c r="E110" s="225">
        <f t="shared" si="3"/>
        <v>0</v>
      </c>
    </row>
    <row r="111" spans="1:5" x14ac:dyDescent="0.25">
      <c r="A111" s="225"/>
      <c r="B111" s="225"/>
      <c r="C111" s="225"/>
      <c r="D111" s="225"/>
      <c r="E111" s="225">
        <f t="shared" si="3"/>
        <v>0</v>
      </c>
    </row>
    <row r="112" spans="1:5" x14ac:dyDescent="0.25">
      <c r="A112" s="225"/>
      <c r="B112" s="225"/>
      <c r="C112" s="225"/>
      <c r="D112" s="225"/>
      <c r="E112" s="225">
        <f t="shared" si="3"/>
        <v>0</v>
      </c>
    </row>
    <row r="113" spans="1:5" x14ac:dyDescent="0.25">
      <c r="A113" s="225"/>
      <c r="B113" s="225"/>
      <c r="C113" s="225"/>
      <c r="D113" s="225"/>
      <c r="E113" s="225">
        <f t="shared" si="3"/>
        <v>0</v>
      </c>
    </row>
    <row r="114" spans="1:5" x14ac:dyDescent="0.25">
      <c r="A114" s="225"/>
      <c r="B114" s="225"/>
      <c r="C114" s="225"/>
      <c r="D114" s="225"/>
      <c r="E114" s="225">
        <f t="shared" si="3"/>
        <v>0</v>
      </c>
    </row>
    <row r="115" spans="1:5" x14ac:dyDescent="0.25">
      <c r="A115" s="225"/>
      <c r="B115" s="225"/>
      <c r="C115" s="225"/>
      <c r="D115" s="225"/>
      <c r="E115" s="225">
        <f t="shared" si="3"/>
        <v>0</v>
      </c>
    </row>
    <row r="116" spans="1:5" x14ac:dyDescent="0.25">
      <c r="A116" s="225"/>
      <c r="B116" s="225"/>
      <c r="C116" s="225"/>
      <c r="D116" s="225"/>
      <c r="E116" s="225">
        <f t="shared" si="3"/>
        <v>0</v>
      </c>
    </row>
    <row r="117" spans="1:5" x14ac:dyDescent="0.25">
      <c r="A117" s="225"/>
      <c r="B117" s="225"/>
      <c r="C117" s="225"/>
      <c r="D117" s="225"/>
      <c r="E117" s="225">
        <f t="shared" si="3"/>
        <v>0</v>
      </c>
    </row>
    <row r="118" spans="1:5" x14ac:dyDescent="0.25">
      <c r="A118" s="225"/>
      <c r="B118" s="225"/>
      <c r="C118" s="225"/>
      <c r="D118" s="225"/>
      <c r="E118" s="225">
        <f t="shared" si="3"/>
        <v>0</v>
      </c>
    </row>
    <row r="119" spans="1:5" x14ac:dyDescent="0.25">
      <c r="A119" s="225"/>
      <c r="B119" s="225"/>
      <c r="C119" s="225"/>
      <c r="D119" s="225"/>
      <c r="E119" s="225">
        <f t="shared" si="3"/>
        <v>0</v>
      </c>
    </row>
    <row r="120" spans="1:5" x14ac:dyDescent="0.25">
      <c r="A120" s="225"/>
      <c r="B120" s="225"/>
      <c r="C120" s="225"/>
      <c r="D120" s="225"/>
      <c r="E120" s="225">
        <f t="shared" si="3"/>
        <v>0</v>
      </c>
    </row>
    <row r="121" spans="1:5" x14ac:dyDescent="0.25">
      <c r="A121" s="225"/>
      <c r="B121" s="225"/>
      <c r="C121" s="225"/>
      <c r="D121" s="225"/>
      <c r="E121" s="225">
        <f t="shared" si="3"/>
        <v>0</v>
      </c>
    </row>
    <row r="122" spans="1:5" x14ac:dyDescent="0.25">
      <c r="A122" s="225"/>
      <c r="B122" s="225"/>
      <c r="C122" s="225"/>
      <c r="D122" s="225"/>
      <c r="E122" s="225">
        <f t="shared" si="3"/>
        <v>0</v>
      </c>
    </row>
    <row r="123" spans="1:5" x14ac:dyDescent="0.25">
      <c r="A123" s="225"/>
      <c r="B123" s="225"/>
      <c r="C123" s="225"/>
      <c r="D123" s="225"/>
      <c r="E123" s="225">
        <f t="shared" si="3"/>
        <v>0</v>
      </c>
    </row>
    <row r="124" spans="1:5" x14ac:dyDescent="0.25">
      <c r="A124" s="225"/>
      <c r="B124" s="225"/>
      <c r="C124" s="225"/>
      <c r="D124" s="225"/>
      <c r="E124" s="225">
        <f t="shared" si="3"/>
        <v>0</v>
      </c>
    </row>
    <row r="125" spans="1:5" x14ac:dyDescent="0.25">
      <c r="A125" s="225"/>
      <c r="B125" s="225"/>
      <c r="C125" s="225"/>
      <c r="D125" s="225"/>
      <c r="E125" s="225">
        <f t="shared" si="3"/>
        <v>0</v>
      </c>
    </row>
    <row r="126" spans="1:5" x14ac:dyDescent="0.25">
      <c r="A126" s="225"/>
      <c r="B126" s="225"/>
      <c r="C126" s="225"/>
      <c r="D126" s="225"/>
      <c r="E126" s="225">
        <f t="shared" si="3"/>
        <v>0</v>
      </c>
    </row>
    <row r="127" spans="1:5" x14ac:dyDescent="0.25">
      <c r="A127" s="225"/>
      <c r="B127" s="225"/>
      <c r="C127" s="225"/>
      <c r="D127" s="225"/>
      <c r="E127" s="225">
        <f t="shared" si="3"/>
        <v>0</v>
      </c>
    </row>
    <row r="128" spans="1:5" x14ac:dyDescent="0.25">
      <c r="A128" s="225"/>
      <c r="B128" s="225"/>
      <c r="C128" s="225"/>
      <c r="D128" s="225"/>
      <c r="E128" s="225">
        <f t="shared" si="3"/>
        <v>0</v>
      </c>
    </row>
    <row r="129" spans="1:5" x14ac:dyDescent="0.25">
      <c r="A129" s="225"/>
      <c r="B129" s="225"/>
      <c r="C129" s="225"/>
      <c r="D129" s="225"/>
      <c r="E129" s="225">
        <f t="shared" si="3"/>
        <v>0</v>
      </c>
    </row>
    <row r="130" spans="1:5" x14ac:dyDescent="0.25">
      <c r="A130" s="225"/>
      <c r="B130" s="225"/>
      <c r="C130" s="225"/>
      <c r="D130" s="225"/>
      <c r="E130" s="225">
        <f t="shared" si="3"/>
        <v>0</v>
      </c>
    </row>
    <row r="131" spans="1:5" x14ac:dyDescent="0.25">
      <c r="A131" s="225"/>
      <c r="B131" s="225"/>
      <c r="C131" s="225"/>
      <c r="D131" s="225"/>
      <c r="E131" s="225">
        <f t="shared" si="3"/>
        <v>0</v>
      </c>
    </row>
    <row r="132" spans="1:5" x14ac:dyDescent="0.25">
      <c r="A132" s="225"/>
      <c r="B132" s="225"/>
      <c r="C132" s="225"/>
      <c r="D132" s="225"/>
      <c r="E132" s="225">
        <f t="shared" si="3"/>
        <v>0</v>
      </c>
    </row>
    <row r="133" spans="1:5" x14ac:dyDescent="0.25">
      <c r="A133" s="225"/>
      <c r="B133" s="225"/>
      <c r="C133" s="225"/>
      <c r="D133" s="225"/>
      <c r="E133" s="225">
        <f t="shared" si="3"/>
        <v>0</v>
      </c>
    </row>
    <row r="134" spans="1:5" x14ac:dyDescent="0.25">
      <c r="A134" s="225"/>
      <c r="B134" s="225"/>
      <c r="C134" s="225"/>
      <c r="D134" s="225"/>
      <c r="E134" s="225">
        <f t="shared" si="3"/>
        <v>0</v>
      </c>
    </row>
    <row r="135" spans="1:5" x14ac:dyDescent="0.25">
      <c r="A135" s="225"/>
      <c r="B135" s="225"/>
      <c r="C135" s="225"/>
      <c r="D135" s="225"/>
      <c r="E135" s="225">
        <f t="shared" ref="E135:E160" si="4">D135-C135</f>
        <v>0</v>
      </c>
    </row>
    <row r="136" spans="1:5" x14ac:dyDescent="0.25">
      <c r="A136" s="225"/>
      <c r="B136" s="225"/>
      <c r="C136" s="225"/>
      <c r="D136" s="225"/>
      <c r="E136" s="225">
        <f t="shared" si="4"/>
        <v>0</v>
      </c>
    </row>
    <row r="137" spans="1:5" x14ac:dyDescent="0.25">
      <c r="A137" s="225"/>
      <c r="B137" s="225"/>
      <c r="C137" s="225"/>
      <c r="D137" s="225"/>
      <c r="E137" s="225">
        <f t="shared" si="4"/>
        <v>0</v>
      </c>
    </row>
    <row r="138" spans="1:5" x14ac:dyDescent="0.25">
      <c r="A138" s="225"/>
      <c r="B138" s="225"/>
      <c r="C138" s="225"/>
      <c r="D138" s="225"/>
      <c r="E138" s="225">
        <f t="shared" si="4"/>
        <v>0</v>
      </c>
    </row>
    <row r="139" spans="1:5" x14ac:dyDescent="0.25">
      <c r="A139" s="225"/>
      <c r="B139" s="225"/>
      <c r="C139" s="225"/>
      <c r="D139" s="225"/>
      <c r="E139" s="225">
        <f t="shared" si="4"/>
        <v>0</v>
      </c>
    </row>
    <row r="140" spans="1:5" x14ac:dyDescent="0.25">
      <c r="A140" s="225"/>
      <c r="B140" s="225"/>
      <c r="C140" s="225"/>
      <c r="D140" s="225"/>
      <c r="E140" s="225">
        <f t="shared" si="4"/>
        <v>0</v>
      </c>
    </row>
    <row r="141" spans="1:5" x14ac:dyDescent="0.25">
      <c r="A141" s="225"/>
      <c r="B141" s="225"/>
      <c r="C141" s="225"/>
      <c r="D141" s="225"/>
      <c r="E141" s="225">
        <f t="shared" si="4"/>
        <v>0</v>
      </c>
    </row>
    <row r="142" spans="1:5" x14ac:dyDescent="0.25">
      <c r="A142" s="225"/>
      <c r="B142" s="225"/>
      <c r="C142" s="225"/>
      <c r="D142" s="225"/>
      <c r="E142" s="225">
        <f t="shared" si="4"/>
        <v>0</v>
      </c>
    </row>
    <row r="143" spans="1:5" x14ac:dyDescent="0.25">
      <c r="A143" s="225"/>
      <c r="B143" s="225"/>
      <c r="C143" s="225"/>
      <c r="D143" s="225"/>
      <c r="E143" s="225">
        <f t="shared" si="4"/>
        <v>0</v>
      </c>
    </row>
    <row r="144" spans="1:5" x14ac:dyDescent="0.25">
      <c r="A144" s="225"/>
      <c r="B144" s="225"/>
      <c r="C144" s="225"/>
      <c r="D144" s="225"/>
      <c r="E144" s="225">
        <f t="shared" si="4"/>
        <v>0</v>
      </c>
    </row>
    <row r="145" spans="1:5" x14ac:dyDescent="0.25">
      <c r="A145" s="225"/>
      <c r="B145" s="225"/>
      <c r="C145" s="225"/>
      <c r="D145" s="225"/>
      <c r="E145" s="225">
        <f t="shared" si="4"/>
        <v>0</v>
      </c>
    </row>
    <row r="146" spans="1:5" x14ac:dyDescent="0.25">
      <c r="A146" s="225"/>
      <c r="B146" s="225"/>
      <c r="C146" s="225"/>
      <c r="D146" s="225"/>
      <c r="E146" s="225">
        <f t="shared" si="4"/>
        <v>0</v>
      </c>
    </row>
    <row r="147" spans="1:5" x14ac:dyDescent="0.25">
      <c r="A147" s="225"/>
      <c r="B147" s="225"/>
      <c r="C147" s="225"/>
      <c r="D147" s="225"/>
      <c r="E147" s="225">
        <f t="shared" si="4"/>
        <v>0</v>
      </c>
    </row>
    <row r="148" spans="1:5" x14ac:dyDescent="0.25">
      <c r="A148" s="225"/>
      <c r="B148" s="225"/>
      <c r="C148" s="225"/>
      <c r="D148" s="225"/>
      <c r="E148" s="225">
        <f t="shared" si="4"/>
        <v>0</v>
      </c>
    </row>
    <row r="149" spans="1:5" x14ac:dyDescent="0.25">
      <c r="A149" s="225"/>
      <c r="B149" s="225"/>
      <c r="C149" s="225"/>
      <c r="D149" s="225"/>
      <c r="E149" s="225">
        <f t="shared" si="4"/>
        <v>0</v>
      </c>
    </row>
    <row r="150" spans="1:5" x14ac:dyDescent="0.25">
      <c r="A150" s="225"/>
      <c r="B150" s="225"/>
      <c r="C150" s="225"/>
      <c r="D150" s="225"/>
      <c r="E150" s="225">
        <f t="shared" si="4"/>
        <v>0</v>
      </c>
    </row>
    <row r="151" spans="1:5" x14ac:dyDescent="0.25">
      <c r="A151" s="225"/>
      <c r="B151" s="225"/>
      <c r="C151" s="225"/>
      <c r="D151" s="225"/>
      <c r="E151" s="225">
        <f t="shared" si="4"/>
        <v>0</v>
      </c>
    </row>
    <row r="152" spans="1:5" x14ac:dyDescent="0.25">
      <c r="A152" s="225"/>
      <c r="B152" s="225"/>
      <c r="C152" s="225"/>
      <c r="D152" s="225"/>
      <c r="E152" s="225">
        <f t="shared" si="4"/>
        <v>0</v>
      </c>
    </row>
    <row r="153" spans="1:5" x14ac:dyDescent="0.25">
      <c r="A153" s="225"/>
      <c r="B153" s="225"/>
      <c r="C153" s="225"/>
      <c r="D153" s="225"/>
      <c r="E153" s="225">
        <f t="shared" si="4"/>
        <v>0</v>
      </c>
    </row>
    <row r="154" spans="1:5" x14ac:dyDescent="0.25">
      <c r="A154" s="225"/>
      <c r="B154" s="225"/>
      <c r="C154" s="225"/>
      <c r="D154" s="225"/>
      <c r="E154" s="225">
        <f t="shared" si="4"/>
        <v>0</v>
      </c>
    </row>
    <row r="155" spans="1:5" x14ac:dyDescent="0.25">
      <c r="A155" s="225"/>
      <c r="B155" s="225"/>
      <c r="C155" s="225"/>
      <c r="D155" s="225"/>
      <c r="E155" s="225">
        <f t="shared" si="4"/>
        <v>0</v>
      </c>
    </row>
    <row r="156" spans="1:5" x14ac:dyDescent="0.25">
      <c r="A156" s="225"/>
      <c r="B156" s="225"/>
      <c r="C156" s="225"/>
      <c r="D156" s="225"/>
      <c r="E156" s="225">
        <f t="shared" si="4"/>
        <v>0</v>
      </c>
    </row>
    <row r="157" spans="1:5" x14ac:dyDescent="0.25">
      <c r="A157" s="225"/>
      <c r="B157" s="225"/>
      <c r="C157" s="225"/>
      <c r="D157" s="225"/>
      <c r="E157" s="225">
        <f t="shared" si="4"/>
        <v>0</v>
      </c>
    </row>
    <row r="158" spans="1:5" x14ac:dyDescent="0.25">
      <c r="A158" s="225"/>
      <c r="B158" s="225"/>
      <c r="C158" s="225"/>
      <c r="D158" s="225"/>
      <c r="E158" s="225">
        <f t="shared" si="4"/>
        <v>0</v>
      </c>
    </row>
    <row r="159" spans="1:5" x14ac:dyDescent="0.25">
      <c r="A159" s="225"/>
      <c r="B159" s="225"/>
      <c r="C159" s="225"/>
      <c r="D159" s="225"/>
      <c r="E159" s="225">
        <f t="shared" si="4"/>
        <v>0</v>
      </c>
    </row>
    <row r="160" spans="1:5" x14ac:dyDescent="0.25">
      <c r="A160" s="225"/>
      <c r="B160" s="225"/>
      <c r="C160" s="225"/>
      <c r="D160" s="225"/>
      <c r="E160" s="225">
        <f t="shared" si="4"/>
        <v>0</v>
      </c>
    </row>
    <row r="209" spans="105:116" ht="28" x14ac:dyDescent="0.8">
      <c r="DA209" s="282" t="str">
        <f>B1</f>
        <v>Local Council Elections 2023</v>
      </c>
      <c r="DB209" s="283"/>
      <c r="DC209" s="283"/>
      <c r="DD209" s="283"/>
      <c r="DE209" s="283"/>
      <c r="DF209" s="283"/>
      <c r="DG209" s="283"/>
      <c r="DH209" s="283"/>
      <c r="DI209" s="283"/>
      <c r="DJ209" s="283"/>
      <c r="DK209" s="283"/>
      <c r="DL209" s="283"/>
    </row>
    <row r="210" spans="105:116" ht="28" x14ac:dyDescent="0.8">
      <c r="DA210" s="282" t="str">
        <f>A3&amp;" "&amp;B3</f>
        <v>District Electoral Area of Lisburn South</v>
      </c>
      <c r="DB210" s="283"/>
      <c r="DC210" s="283"/>
      <c r="DD210" s="283"/>
      <c r="DE210" s="283"/>
      <c r="DF210" s="283"/>
      <c r="DG210" s="283"/>
      <c r="DH210" s="283"/>
      <c r="DI210" s="283"/>
      <c r="DJ210" s="283"/>
      <c r="DK210" s="283"/>
      <c r="DL210" s="283"/>
    </row>
    <row r="212" spans="105:116" x14ac:dyDescent="0.25">
      <c r="DA212" s="284" t="s">
        <v>86</v>
      </c>
      <c r="DB212" s="284"/>
      <c r="DC212" s="284"/>
      <c r="DD212" s="284"/>
      <c r="DE212" s="284"/>
      <c r="DF212" s="284"/>
      <c r="DG212" s="284"/>
      <c r="DH212" s="284"/>
      <c r="DI212" s="284"/>
      <c r="DJ212" s="284"/>
      <c r="DK212" s="284"/>
      <c r="DL212" s="284"/>
    </row>
    <row r="213" spans="105:116" x14ac:dyDescent="0.25">
      <c r="DA213" s="284"/>
      <c r="DB213" s="284"/>
      <c r="DC213" s="284"/>
      <c r="DD213" s="284"/>
      <c r="DE213" s="284"/>
      <c r="DF213" s="284"/>
      <c r="DG213" s="284"/>
      <c r="DH213" s="284"/>
      <c r="DI213" s="284"/>
      <c r="DJ213" s="284"/>
      <c r="DK213" s="284"/>
      <c r="DL213" s="284"/>
    </row>
    <row r="214" spans="105:116" x14ac:dyDescent="0.25">
      <c r="DA214" s="284"/>
      <c r="DB214" s="284"/>
      <c r="DC214" s="284"/>
      <c r="DD214" s="284"/>
      <c r="DE214" s="284"/>
      <c r="DF214" s="284"/>
      <c r="DG214" s="284"/>
      <c r="DH214" s="284"/>
      <c r="DI214" s="284"/>
      <c r="DJ214" s="284"/>
      <c r="DK214" s="284"/>
      <c r="DL214" s="284"/>
    </row>
    <row r="215" spans="105:116" ht="39.5" x14ac:dyDescent="1.1000000000000001">
      <c r="DA215" s="228"/>
      <c r="DB215" s="228"/>
      <c r="DC215" s="228"/>
      <c r="DD215" s="228"/>
      <c r="DE215" s="228"/>
      <c r="DF215" s="228"/>
      <c r="DG215" s="228"/>
      <c r="DH215" s="228"/>
      <c r="DI215" s="228"/>
      <c r="DJ215" s="228"/>
      <c r="DK215" s="228"/>
      <c r="DL215" s="228"/>
    </row>
    <row r="216" spans="105:116" ht="35" x14ac:dyDescent="0.7">
      <c r="DB216" s="285" t="s">
        <v>87</v>
      </c>
      <c r="DC216" s="286"/>
      <c r="DD216" s="286"/>
      <c r="DE216" s="286"/>
      <c r="DF216" s="286"/>
      <c r="DG216" s="281">
        <f>L2</f>
        <v>16838</v>
      </c>
      <c r="DH216" s="281"/>
      <c r="DI216" s="281"/>
    </row>
    <row r="217" spans="105:116" ht="35" x14ac:dyDescent="0.7">
      <c r="DB217" s="285" t="s">
        <v>88</v>
      </c>
      <c r="DC217" s="286"/>
      <c r="DD217" s="286"/>
      <c r="DE217" s="286"/>
      <c r="DF217" s="286"/>
      <c r="DG217" s="281">
        <f>L3</f>
        <v>7595</v>
      </c>
      <c r="DH217" s="281"/>
      <c r="DI217" s="281"/>
    </row>
    <row r="218" spans="105:116" ht="35" x14ac:dyDescent="0.7">
      <c r="DB218" s="285" t="s">
        <v>89</v>
      </c>
      <c r="DC218" s="286"/>
      <c r="DD218" s="286"/>
      <c r="DE218" s="286"/>
      <c r="DF218" s="286"/>
      <c r="DG218" s="287">
        <f>DG217/DG216</f>
        <v>0.45106307162370829</v>
      </c>
      <c r="DH218" s="287"/>
      <c r="DI218" s="287"/>
    </row>
    <row r="231" spans="105:116" ht="28" x14ac:dyDescent="0.8">
      <c r="DA231" s="282" t="str">
        <f>B1</f>
        <v>Local Council Elections 2023</v>
      </c>
      <c r="DB231" s="283"/>
      <c r="DC231" s="283"/>
      <c r="DD231" s="283"/>
      <c r="DE231" s="283"/>
      <c r="DF231" s="283"/>
      <c r="DG231" s="283"/>
      <c r="DH231" s="283"/>
      <c r="DI231" s="283"/>
      <c r="DJ231" s="283"/>
      <c r="DK231" s="283"/>
      <c r="DL231" s="283"/>
    </row>
    <row r="232" spans="105:116" ht="28" x14ac:dyDescent="0.8">
      <c r="DA232" s="282" t="str">
        <f>A3&amp;" "&amp;B3</f>
        <v>District Electoral Area of Lisburn South</v>
      </c>
      <c r="DB232" s="283"/>
      <c r="DC232" s="283"/>
      <c r="DD232" s="283"/>
      <c r="DE232" s="283"/>
      <c r="DF232" s="283"/>
      <c r="DG232" s="283"/>
      <c r="DH232" s="283"/>
      <c r="DI232" s="283"/>
      <c r="DJ232" s="283"/>
      <c r="DK232" s="283"/>
      <c r="DL232" s="283"/>
    </row>
    <row r="234" spans="105:116" x14ac:dyDescent="0.25">
      <c r="DA234" s="284" t="s">
        <v>90</v>
      </c>
      <c r="DB234" s="284"/>
      <c r="DC234" s="284"/>
      <c r="DD234" s="284"/>
      <c r="DE234" s="284"/>
      <c r="DF234" s="284"/>
      <c r="DG234" s="284"/>
      <c r="DH234" s="284"/>
      <c r="DI234" s="284"/>
      <c r="DJ234" s="284"/>
      <c r="DK234" s="284"/>
      <c r="DL234" s="284"/>
    </row>
    <row r="235" spans="105:116" x14ac:dyDescent="0.25">
      <c r="DA235" s="284"/>
      <c r="DB235" s="284"/>
      <c r="DC235" s="284"/>
      <c r="DD235" s="284"/>
      <c r="DE235" s="284"/>
      <c r="DF235" s="284"/>
      <c r="DG235" s="284"/>
      <c r="DH235" s="284"/>
      <c r="DI235" s="284"/>
      <c r="DJ235" s="284"/>
      <c r="DK235" s="284"/>
      <c r="DL235" s="284"/>
    </row>
    <row r="236" spans="105:116" x14ac:dyDescent="0.25">
      <c r="DA236" s="284"/>
      <c r="DB236" s="284"/>
      <c r="DC236" s="284"/>
      <c r="DD236" s="284"/>
      <c r="DE236" s="284"/>
      <c r="DF236" s="284"/>
      <c r="DG236" s="284"/>
      <c r="DH236" s="284"/>
      <c r="DI236" s="284"/>
      <c r="DJ236" s="284"/>
      <c r="DK236" s="284"/>
      <c r="DL236" s="284"/>
    </row>
    <row r="237" spans="105:116" ht="39.5" x14ac:dyDescent="1.1000000000000001">
      <c r="DA237" s="228"/>
      <c r="DB237" s="228"/>
      <c r="DC237" s="228"/>
      <c r="DD237" s="228"/>
      <c r="DE237" s="228"/>
      <c r="DF237" s="228"/>
      <c r="DG237" s="228"/>
      <c r="DH237" s="228"/>
      <c r="DI237" s="228"/>
      <c r="DJ237" s="228"/>
      <c r="DK237" s="228"/>
      <c r="DL237" s="228"/>
    </row>
    <row r="238" spans="105:116" ht="35" x14ac:dyDescent="0.7">
      <c r="DB238" s="285" t="s">
        <v>91</v>
      </c>
      <c r="DC238" s="286"/>
      <c r="DD238" s="286"/>
      <c r="DE238" s="286"/>
      <c r="DF238" s="286"/>
      <c r="DG238" s="281">
        <f>L3</f>
        <v>7595</v>
      </c>
      <c r="DH238" s="281"/>
      <c r="DI238" s="281"/>
    </row>
    <row r="239" spans="105:116" ht="35" x14ac:dyDescent="0.7">
      <c r="DB239" s="285" t="s">
        <v>92</v>
      </c>
      <c r="DC239" s="286"/>
      <c r="DD239" s="286"/>
      <c r="DE239" s="286"/>
      <c r="DF239" s="286"/>
      <c r="DG239" s="281">
        <f>L31</f>
        <v>7496</v>
      </c>
      <c r="DH239" s="281"/>
      <c r="DI239" s="281"/>
    </row>
    <row r="240" spans="105:116" ht="35" x14ac:dyDescent="0.7">
      <c r="DB240" s="275" t="s">
        <v>93</v>
      </c>
      <c r="DC240" s="276"/>
      <c r="DD240" s="276"/>
      <c r="DE240" s="276"/>
      <c r="DF240" s="277"/>
      <c r="DG240" s="278">
        <f>L33</f>
        <v>99</v>
      </c>
      <c r="DH240" s="279"/>
      <c r="DI240" s="280"/>
    </row>
    <row r="241" spans="106:113" ht="35" x14ac:dyDescent="0.7">
      <c r="DB241" s="275" t="s">
        <v>67</v>
      </c>
      <c r="DC241" s="276"/>
      <c r="DD241" s="276"/>
      <c r="DE241" s="276"/>
      <c r="DF241" s="277"/>
      <c r="DG241" s="281">
        <f>G4</f>
        <v>1071</v>
      </c>
      <c r="DH241" s="281"/>
      <c r="DI241" s="281"/>
    </row>
  </sheetData>
  <sheetProtection sheet="1" objects="1" scenarios="1"/>
  <protectedRanges>
    <protectedRange sqref="Q25 Q23" name="Range6"/>
    <protectedRange sqref="L33" name="Range4"/>
    <protectedRange sqref="D8" name="Range2"/>
    <protectedRange sqref="L10:L29" name="Range3"/>
    <protectedRange sqref="Q19" name="Range5"/>
    <protectedRange sqref="Q16" name="Range7"/>
  </protectedRanges>
  <mergeCells count="31">
    <mergeCell ref="E4:F4"/>
    <mergeCell ref="E3:F3"/>
    <mergeCell ref="B3:C3"/>
    <mergeCell ref="B1:E1"/>
    <mergeCell ref="J31:K31"/>
    <mergeCell ref="A8:C8"/>
    <mergeCell ref="N21:Q21"/>
    <mergeCell ref="N8:R9"/>
    <mergeCell ref="N11:R12"/>
    <mergeCell ref="J33:K33"/>
    <mergeCell ref="J35:K35"/>
    <mergeCell ref="DA209:DL209"/>
    <mergeCell ref="DA210:DL210"/>
    <mergeCell ref="DA212:DL214"/>
    <mergeCell ref="DB216:DF216"/>
    <mergeCell ref="DG216:DI216"/>
    <mergeCell ref="DB217:DF217"/>
    <mergeCell ref="DG217:DI217"/>
    <mergeCell ref="DB218:DF218"/>
    <mergeCell ref="DG218:DI218"/>
    <mergeCell ref="DA231:DL231"/>
    <mergeCell ref="DB240:DF240"/>
    <mergeCell ref="DG240:DI240"/>
    <mergeCell ref="DB241:DF241"/>
    <mergeCell ref="DG241:DI241"/>
    <mergeCell ref="DA232:DL232"/>
    <mergeCell ref="DA234:DL236"/>
    <mergeCell ref="DB238:DF238"/>
    <mergeCell ref="DG238:DI238"/>
    <mergeCell ref="DB239:DF239"/>
    <mergeCell ref="DG239:DI239"/>
  </mergeCells>
  <phoneticPr fontId="0" type="noConversion"/>
  <conditionalFormatting sqref="N21">
    <cfRule type="cellIs" dxfId="156" priority="1" stopIfTrue="1" operator="equal">
      <formula>"Calculations OK"</formula>
    </cfRule>
    <cfRule type="cellIs" dxfId="155" priority="2" stopIfTrue="1" operator="equal">
      <formula>"Check Count"</formula>
    </cfRule>
  </conditionalFormatting>
  <hyperlinks>
    <hyperlink ref="N11" location="'Stage 2'!A1" display="HOME TO OVERVIEW OF STAGE 2"/>
    <hyperlink ref="N8" location="'Stage 3'!A1" display="MOVE TO STAGE 3"/>
    <hyperlink ref="N8:R9" location="'Basic Input'!A1:J1" display="BACK TO BASIC INPUT FORM"/>
    <hyperlink ref="N11:R12" location="'Overview Stage 1'!A1" display="FORWARD TO OVERVIEW STAGE 1"/>
  </hyperlinks>
  <pageMargins left="0.75" right="0.75" top="1" bottom="1" header="0.5" footer="0.5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DD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5" max="25" width="5.5429687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7" max="37" width="10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11.90625" customWidth="1"/>
    <col min="43" max="43" width="14.54296875" customWidth="1"/>
    <col min="44" max="44" width="7.6328125" customWidth="1"/>
    <col min="46" max="46" width="17.36328125" bestFit="1" customWidth="1"/>
    <col min="48" max="48" width="11.08984375" customWidth="1"/>
    <col min="50" max="50" width="49.90625" customWidth="1"/>
    <col min="51" max="51" width="14.36328125" customWidth="1"/>
    <col min="52" max="52" width="3.36328125" customWidth="1"/>
    <col min="53" max="53" width="9.453125" bestFit="1" customWidth="1"/>
    <col min="54" max="54" width="4" customWidth="1"/>
    <col min="55" max="55" width="23" customWidth="1"/>
    <col min="56" max="56" width="12" customWidth="1"/>
    <col min="57" max="57" width="14.90625" customWidth="1"/>
    <col min="59" max="59" width="11" customWidth="1"/>
    <col min="60" max="60" width="11.453125" customWidth="1"/>
    <col min="61" max="61" width="10.90625" customWidth="1"/>
    <col min="65" max="65" width="10.54296875" customWidth="1"/>
    <col min="66" max="66" width="7.90625" customWidth="1"/>
    <col min="67" max="67" width="1.6328125" customWidth="1"/>
    <col min="68" max="68" width="23.08984375" customWidth="1"/>
    <col min="81" max="81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94</v>
      </c>
      <c r="J1" s="85" t="s">
        <v>37</v>
      </c>
      <c r="K1" s="319">
        <f>'Basic Input'!C2</f>
        <v>45064</v>
      </c>
      <c r="L1" s="319"/>
      <c r="Z1" s="10"/>
      <c r="AQ1" s="33"/>
      <c r="AX1" s="10"/>
      <c r="BC1" s="34"/>
      <c r="BP1" s="10"/>
      <c r="BW1" s="34"/>
      <c r="DA1">
        <v>1</v>
      </c>
    </row>
    <row r="2" spans="1:105" ht="27" customHeight="1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20" t="s">
        <v>95</v>
      </c>
      <c r="P2" s="321"/>
      <c r="Q2" s="321"/>
      <c r="R2" s="321"/>
      <c r="S2" s="322"/>
      <c r="Z2" s="314"/>
      <c r="AA2" s="314"/>
      <c r="AB2" s="314"/>
      <c r="AC2" s="314"/>
      <c r="AD2" s="314"/>
      <c r="AE2" s="314"/>
      <c r="AF2" s="314"/>
      <c r="AG2" s="28"/>
      <c r="AX2" s="10"/>
      <c r="BD2" s="26"/>
      <c r="BE2" s="3"/>
      <c r="BG2" s="313"/>
      <c r="BH2" s="313"/>
      <c r="BI2" s="313"/>
      <c r="BP2" s="36"/>
      <c r="BZ2" s="324"/>
      <c r="CA2" s="324"/>
      <c r="CB2" s="324"/>
      <c r="CC2" s="324"/>
    </row>
    <row r="3" spans="1:105" ht="18.75" customHeight="1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23"/>
      <c r="P3" s="323"/>
      <c r="Q3" s="323"/>
      <c r="R3" s="323"/>
      <c r="S3" s="323"/>
      <c r="Z3" s="314"/>
      <c r="AA3" s="314"/>
      <c r="AB3" s="314"/>
      <c r="AC3" s="314"/>
      <c r="AD3" s="314"/>
      <c r="AE3" s="314"/>
      <c r="AF3" s="314"/>
      <c r="AG3" s="36"/>
      <c r="AJ3" s="317"/>
      <c r="AK3" s="317"/>
      <c r="AL3" s="317"/>
      <c r="AM3" s="317"/>
      <c r="AN3" s="317"/>
      <c r="AO3" s="317"/>
      <c r="AP3" s="317"/>
      <c r="AQ3" s="36"/>
      <c r="AX3" s="10"/>
      <c r="BG3" s="313"/>
      <c r="BH3" s="313"/>
      <c r="BI3" s="313"/>
      <c r="BJ3" s="114"/>
      <c r="BP3" s="81"/>
      <c r="BQ3" s="81"/>
      <c r="BR3" s="316"/>
      <c r="BS3" s="316"/>
      <c r="BT3" s="316"/>
      <c r="BU3" s="316"/>
      <c r="BV3" s="316"/>
      <c r="BW3" s="316"/>
      <c r="BX3" s="316"/>
      <c r="BZ3" s="313"/>
      <c r="CA3" s="313"/>
      <c r="CB3" s="313"/>
      <c r="CC3" s="313"/>
    </row>
    <row r="4" spans="1:105" ht="27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20" t="s">
        <v>102</v>
      </c>
      <c r="P4" s="321"/>
      <c r="Q4" s="321"/>
      <c r="R4" s="321"/>
      <c r="S4" s="322"/>
      <c r="U4" s="311" t="str">
        <f>IF(G33="ERROR","DO NOT MOVE TO NEXT STAGE","OK TO MOVE TO NEXT STAGE")</f>
        <v>OK TO MOVE TO NEXT STAGE</v>
      </c>
      <c r="V4" s="311"/>
      <c r="W4" s="311"/>
      <c r="Z4" s="314"/>
      <c r="AA4" s="314"/>
      <c r="AB4" s="314"/>
      <c r="AC4" s="314"/>
      <c r="AD4" s="314"/>
      <c r="AE4" s="314"/>
      <c r="AF4" s="314"/>
      <c r="AG4" s="163"/>
      <c r="AX4" s="77"/>
      <c r="BC4" s="91"/>
      <c r="BD4" s="91"/>
      <c r="BE4" s="91"/>
      <c r="BF4" s="149"/>
      <c r="BG4" s="91"/>
      <c r="BH4" s="91"/>
    </row>
    <row r="5" spans="1:105" ht="15" customHeight="1" thickBot="1" x14ac:dyDescent="0.45">
      <c r="A5" s="10"/>
      <c r="O5" s="102"/>
      <c r="P5" s="102"/>
      <c r="Q5" s="102"/>
      <c r="R5" s="25"/>
      <c r="T5" s="74"/>
      <c r="Z5" s="313"/>
      <c r="AA5" s="313"/>
      <c r="AB5" s="313"/>
      <c r="AC5" s="313"/>
      <c r="AD5" s="313"/>
      <c r="AE5" s="313"/>
      <c r="AJ5" s="103"/>
      <c r="AK5" s="104"/>
      <c r="AL5" s="103"/>
      <c r="AM5" s="103"/>
      <c r="AN5" s="103"/>
      <c r="AO5" s="104"/>
      <c r="AP5" s="105"/>
      <c r="AQ5" s="175"/>
      <c r="AS5" s="3"/>
      <c r="BN5" s="301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13"/>
      <c r="AA6" s="313"/>
      <c r="AB6" s="313"/>
      <c r="AC6" s="313"/>
      <c r="AD6" s="313"/>
      <c r="AE6" s="313"/>
      <c r="AK6" s="318"/>
      <c r="AL6" s="318"/>
      <c r="AM6" s="318"/>
      <c r="AN6" s="318"/>
      <c r="AO6" s="318"/>
      <c r="AP6" s="318"/>
      <c r="AQ6" s="302"/>
      <c r="AR6" s="91"/>
      <c r="AS6" s="91"/>
      <c r="AT6" s="91"/>
      <c r="AV6" s="33"/>
      <c r="AX6" s="36"/>
      <c r="AY6" s="245"/>
      <c r="BN6" s="301"/>
      <c r="BQ6" s="3"/>
      <c r="BR6" s="28"/>
      <c r="BS6" s="3"/>
      <c r="BT6" s="28"/>
      <c r="BU6" s="3"/>
      <c r="BV6" s="28"/>
      <c r="BW6" s="3"/>
      <c r="BX6" s="28"/>
      <c r="BY6" s="3"/>
      <c r="BZ6" s="28"/>
      <c r="CA6" s="3"/>
      <c r="CB6" s="28"/>
    </row>
    <row r="7" spans="1:105" ht="15" customHeight="1" x14ac:dyDescent="0.25">
      <c r="D7" s="25"/>
      <c r="E7" s="22"/>
      <c r="F7" s="309"/>
      <c r="G7" s="310"/>
      <c r="H7" s="309"/>
      <c r="I7" s="310"/>
      <c r="J7" s="309"/>
      <c r="K7" s="310"/>
      <c r="L7" s="309"/>
      <c r="M7" s="310"/>
      <c r="N7" s="309"/>
      <c r="O7" s="310"/>
      <c r="P7" s="309"/>
      <c r="Q7" s="310"/>
      <c r="R7" s="309"/>
      <c r="S7" s="310"/>
      <c r="T7" s="309"/>
      <c r="U7" s="310"/>
      <c r="V7" s="309"/>
      <c r="W7" s="310"/>
      <c r="Z7" s="313"/>
      <c r="AA7" s="313"/>
      <c r="AB7" s="313"/>
      <c r="AC7" s="313"/>
      <c r="AD7" s="313"/>
      <c r="AE7" s="313"/>
      <c r="AK7" s="318"/>
      <c r="AL7" s="318"/>
      <c r="AM7" s="318"/>
      <c r="AN7" s="318"/>
      <c r="AO7" s="318"/>
      <c r="AP7" s="318"/>
      <c r="AQ7" s="302"/>
      <c r="AY7" s="28"/>
      <c r="BM7" s="3"/>
      <c r="BN7" s="301"/>
      <c r="CC7" s="91"/>
    </row>
    <row r="8" spans="1:105" ht="15" customHeight="1" thickBot="1" x14ac:dyDescent="0.45">
      <c r="D8" s="25"/>
      <c r="E8" s="22"/>
      <c r="F8" s="303"/>
      <c r="G8" s="304"/>
      <c r="H8" s="303"/>
      <c r="I8" s="304"/>
      <c r="J8" s="303"/>
      <c r="K8" s="304"/>
      <c r="L8" s="303"/>
      <c r="M8" s="304"/>
      <c r="N8" s="303"/>
      <c r="O8" s="304"/>
      <c r="P8" s="303"/>
      <c r="Q8" s="304"/>
      <c r="R8" s="303"/>
      <c r="S8" s="304"/>
      <c r="T8" s="303"/>
      <c r="U8" s="304"/>
      <c r="V8" s="303"/>
      <c r="W8" s="304"/>
      <c r="AA8" s="3"/>
      <c r="AI8" s="10"/>
      <c r="AJ8" s="10"/>
      <c r="AX8" s="8"/>
      <c r="AY8" s="28"/>
      <c r="BK8" s="3"/>
      <c r="BM8" s="3"/>
      <c r="BN8" s="28"/>
      <c r="BP8" s="25"/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288" t="s">
        <v>112</v>
      </c>
      <c r="W9" s="290"/>
      <c r="Z9" s="38"/>
      <c r="AA9" s="38"/>
      <c r="AB9" s="38"/>
      <c r="AC9" s="38"/>
      <c r="AK9" s="318"/>
      <c r="AL9" s="318"/>
      <c r="AM9" s="318"/>
      <c r="AN9" s="318"/>
      <c r="AO9" s="318"/>
      <c r="AP9" s="318"/>
      <c r="AQ9" s="315"/>
      <c r="AR9" s="91"/>
      <c r="AS9" s="91"/>
      <c r="AT9" s="91"/>
      <c r="AV9" s="33"/>
      <c r="BK9" s="3"/>
      <c r="BM9" s="3"/>
      <c r="BN9" s="28"/>
      <c r="BP9" s="25"/>
    </row>
    <row r="10" spans="1:105" ht="15" customHeight="1" thickBot="1" x14ac:dyDescent="0.3">
      <c r="A10" s="15" t="s">
        <v>113</v>
      </c>
      <c r="B10" s="18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Y10" s="3"/>
      <c r="AZ10" s="3"/>
      <c r="BA10" s="2"/>
      <c r="BK10" s="3"/>
      <c r="BM10" s="3"/>
      <c r="BN10" s="28"/>
      <c r="BP10" s="25"/>
    </row>
    <row r="11" spans="1:105" ht="15" customHeight="1" thickBot="1" x14ac:dyDescent="0.3">
      <c r="A11" s="20" t="str">
        <f t="shared" ref="A11:A30" si="0">IF(E11&gt;=$M$3,"Elected",IF(G11&gt;=$M$3,"Elected",IF(BN8&lt;&gt;0,"Excluded",0)))</f>
        <v>Elected</v>
      </c>
      <c r="B11" s="235">
        <v>1</v>
      </c>
      <c r="C11" s="30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/>
      <c r="G11" s="27"/>
      <c r="H11" s="71"/>
      <c r="I11" s="27">
        <f t="shared" ref="I11:I31" si="1">IF(H$8=0,0,G11+H11)</f>
        <v>0</v>
      </c>
      <c r="J11" s="71"/>
      <c r="K11" s="27">
        <f t="shared" ref="K11:K31" si="2">IF(J$8=0,0,I11+J11)</f>
        <v>0</v>
      </c>
      <c r="L11" s="71"/>
      <c r="M11" s="27">
        <f t="shared" ref="M11:M31" si="3">IF(L$8=0,0,K11+L11)</f>
        <v>0</v>
      </c>
      <c r="N11" s="71"/>
      <c r="O11" s="27">
        <f t="shared" ref="O11:O31" si="4">IF(N$8=0,0,M11+N11)</f>
        <v>0</v>
      </c>
      <c r="P11" s="71"/>
      <c r="Q11" s="27">
        <f t="shared" ref="Q11:Q31" si="5">IF(P$8=0,0,O11+P11)</f>
        <v>0</v>
      </c>
      <c r="R11" s="71"/>
      <c r="S11" s="27">
        <f t="shared" ref="S11:S31" si="6">IF(R$8=0,0,Q11+R11)</f>
        <v>0</v>
      </c>
      <c r="T11" s="71"/>
      <c r="U11" s="27">
        <f t="shared" ref="U11:U31" si="7">IF(T$8=0,0,S11+T11)</f>
        <v>0</v>
      </c>
      <c r="V11" s="69"/>
      <c r="W11" s="39">
        <f t="shared" ref="W11:W31" si="8">IF(V$8=0,0,U11+V11)</f>
        <v>0</v>
      </c>
      <c r="AA11" s="3"/>
      <c r="AY11" s="3"/>
      <c r="AZ11" s="3"/>
      <c r="BK11" s="3"/>
      <c r="BM11" s="3"/>
      <c r="BN11" s="28"/>
      <c r="BP11" s="25"/>
    </row>
    <row r="12" spans="1:105" ht="15" customHeight="1" thickBot="1" x14ac:dyDescent="0.4">
      <c r="A12" s="20">
        <f t="shared" si="0"/>
        <v>0</v>
      </c>
      <c r="B12" s="235"/>
      <c r="C12" s="31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/>
      <c r="G12" s="27"/>
      <c r="H12" s="71"/>
      <c r="I12" s="27">
        <f t="shared" si="1"/>
        <v>0</v>
      </c>
      <c r="J12" s="71"/>
      <c r="K12" s="27">
        <f t="shared" si="2"/>
        <v>0</v>
      </c>
      <c r="L12" s="71"/>
      <c r="M12" s="27">
        <f t="shared" si="3"/>
        <v>0</v>
      </c>
      <c r="N12" s="71"/>
      <c r="O12" s="27">
        <f t="shared" si="4"/>
        <v>0</v>
      </c>
      <c r="P12" s="71"/>
      <c r="Q12" s="27">
        <f t="shared" si="5"/>
        <v>0</v>
      </c>
      <c r="R12" s="71"/>
      <c r="S12" s="27">
        <f t="shared" si="6"/>
        <v>0</v>
      </c>
      <c r="T12" s="71"/>
      <c r="U12" s="27">
        <f t="shared" si="7"/>
        <v>0</v>
      </c>
      <c r="V12" s="69"/>
      <c r="W12" s="39">
        <f t="shared" si="8"/>
        <v>0</v>
      </c>
      <c r="AJ12" s="38"/>
      <c r="AY12" s="3"/>
      <c r="AZ12" s="3"/>
      <c r="BA12" s="2"/>
      <c r="BK12" s="3"/>
      <c r="BM12" s="3"/>
      <c r="BN12" s="28"/>
      <c r="BP12" s="25"/>
    </row>
    <row r="13" spans="1:105" ht="15" customHeight="1" thickBot="1" x14ac:dyDescent="0.3">
      <c r="A13" s="20">
        <f t="shared" si="0"/>
        <v>0</v>
      </c>
      <c r="B13" s="235"/>
      <c r="C13" s="31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/>
      <c r="G13" s="27"/>
      <c r="H13" s="71"/>
      <c r="I13" s="27">
        <f t="shared" si="1"/>
        <v>0</v>
      </c>
      <c r="J13" s="71"/>
      <c r="K13" s="27">
        <f t="shared" si="2"/>
        <v>0</v>
      </c>
      <c r="L13" s="71"/>
      <c r="M13" s="27">
        <f t="shared" si="3"/>
        <v>0</v>
      </c>
      <c r="N13" s="71"/>
      <c r="O13" s="27">
        <f t="shared" si="4"/>
        <v>0</v>
      </c>
      <c r="P13" s="71"/>
      <c r="Q13" s="27">
        <f t="shared" si="5"/>
        <v>0</v>
      </c>
      <c r="R13" s="71"/>
      <c r="S13" s="27">
        <f t="shared" si="6"/>
        <v>0</v>
      </c>
      <c r="T13" s="71"/>
      <c r="U13" s="27">
        <f t="shared" si="7"/>
        <v>0</v>
      </c>
      <c r="V13" s="69"/>
      <c r="W13" s="39">
        <f t="shared" si="8"/>
        <v>0</v>
      </c>
      <c r="AA13" s="3"/>
      <c r="AI13" s="33"/>
      <c r="AJ13" s="33"/>
      <c r="AL13" s="301"/>
      <c r="AM13" s="301"/>
      <c r="AN13" s="301"/>
      <c r="AO13" s="301"/>
      <c r="AP13" s="316"/>
      <c r="AQ13" s="301"/>
      <c r="AY13" s="3"/>
      <c r="AZ13" s="3"/>
      <c r="BK13" s="3"/>
      <c r="BM13" s="3"/>
      <c r="BN13" s="28"/>
      <c r="BP13" s="25"/>
      <c r="BQ13" s="74"/>
      <c r="BS13" s="74"/>
      <c r="BU13" s="74"/>
      <c r="BW13" s="74"/>
      <c r="BY13" s="74"/>
      <c r="CA13" s="74"/>
      <c r="CC13" s="74"/>
    </row>
    <row r="14" spans="1:105" ht="15" customHeight="1" thickBot="1" x14ac:dyDescent="0.3">
      <c r="A14" s="20">
        <f t="shared" si="0"/>
        <v>0</v>
      </c>
      <c r="B14" s="235"/>
      <c r="C14" s="31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/>
      <c r="G14" s="27"/>
      <c r="H14" s="71"/>
      <c r="I14" s="27">
        <f t="shared" si="1"/>
        <v>0</v>
      </c>
      <c r="J14" s="71"/>
      <c r="K14" s="27">
        <f t="shared" si="2"/>
        <v>0</v>
      </c>
      <c r="L14" s="71"/>
      <c r="M14" s="27">
        <f t="shared" si="3"/>
        <v>0</v>
      </c>
      <c r="N14" s="71"/>
      <c r="O14" s="27">
        <f t="shared" si="4"/>
        <v>0</v>
      </c>
      <c r="P14" s="71"/>
      <c r="Q14" s="27">
        <f t="shared" si="5"/>
        <v>0</v>
      </c>
      <c r="R14" s="71"/>
      <c r="S14" s="27">
        <f t="shared" si="6"/>
        <v>0</v>
      </c>
      <c r="T14" s="71"/>
      <c r="U14" s="27">
        <f t="shared" si="7"/>
        <v>0</v>
      </c>
      <c r="V14" s="69"/>
      <c r="W14" s="39">
        <f t="shared" si="8"/>
        <v>0</v>
      </c>
      <c r="Z14" s="3"/>
      <c r="AA14" s="2"/>
      <c r="AG14" s="33"/>
      <c r="AL14" s="301"/>
      <c r="AM14" s="301"/>
      <c r="AN14" s="301"/>
      <c r="AO14" s="301"/>
      <c r="AP14" s="316"/>
      <c r="AQ14" s="301"/>
      <c r="AY14" s="3"/>
      <c r="AZ14" s="3"/>
      <c r="BA14" s="2"/>
      <c r="BK14" s="3"/>
      <c r="BM14" s="3"/>
      <c r="BN14" s="28"/>
      <c r="BP14" s="25"/>
    </row>
    <row r="15" spans="1:105" ht="15" customHeight="1" thickBot="1" x14ac:dyDescent="0.3">
      <c r="A15" s="20" t="str">
        <f t="shared" si="0"/>
        <v>Elected</v>
      </c>
      <c r="B15" s="235">
        <v>2</v>
      </c>
      <c r="C15" s="31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/>
      <c r="G15" s="27"/>
      <c r="H15" s="71"/>
      <c r="I15" s="27">
        <f t="shared" si="1"/>
        <v>0</v>
      </c>
      <c r="J15" s="71"/>
      <c r="K15" s="27">
        <f t="shared" si="2"/>
        <v>0</v>
      </c>
      <c r="L15" s="71"/>
      <c r="M15" s="27">
        <f t="shared" si="3"/>
        <v>0</v>
      </c>
      <c r="N15" s="71"/>
      <c r="O15" s="27">
        <f t="shared" si="4"/>
        <v>0</v>
      </c>
      <c r="P15" s="71"/>
      <c r="Q15" s="27">
        <f t="shared" si="5"/>
        <v>0</v>
      </c>
      <c r="R15" s="71"/>
      <c r="S15" s="27">
        <f t="shared" si="6"/>
        <v>0</v>
      </c>
      <c r="T15" s="71"/>
      <c r="U15" s="27">
        <f t="shared" si="7"/>
        <v>0</v>
      </c>
      <c r="V15" s="69"/>
      <c r="W15" s="39">
        <f t="shared" si="8"/>
        <v>0</v>
      </c>
      <c r="Z15" s="3"/>
      <c r="AA15" s="2"/>
      <c r="AG15" s="33"/>
      <c r="AL15" s="301"/>
      <c r="AM15" s="301"/>
      <c r="AN15" s="301"/>
      <c r="AO15" s="301"/>
      <c r="AP15" s="316"/>
      <c r="AQ15" s="301"/>
      <c r="AY15" s="3"/>
      <c r="AZ15" s="3"/>
      <c r="BA15" s="2"/>
      <c r="BK15" s="3"/>
      <c r="BM15" s="3"/>
      <c r="BN15" s="28"/>
      <c r="BP15" s="25"/>
    </row>
    <row r="16" spans="1:105" ht="15" customHeight="1" thickBot="1" x14ac:dyDescent="0.3">
      <c r="A16" s="20">
        <f t="shared" si="0"/>
        <v>0</v>
      </c>
      <c r="B16" s="235"/>
      <c r="C16" s="31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/>
      <c r="G16" s="27"/>
      <c r="H16" s="71"/>
      <c r="I16" s="27">
        <f t="shared" si="1"/>
        <v>0</v>
      </c>
      <c r="J16" s="71"/>
      <c r="K16" s="27">
        <f t="shared" si="2"/>
        <v>0</v>
      </c>
      <c r="L16" s="71"/>
      <c r="M16" s="27">
        <f t="shared" si="3"/>
        <v>0</v>
      </c>
      <c r="N16" s="71"/>
      <c r="O16" s="27">
        <f t="shared" si="4"/>
        <v>0</v>
      </c>
      <c r="P16" s="71"/>
      <c r="Q16" s="27">
        <f t="shared" si="5"/>
        <v>0</v>
      </c>
      <c r="R16" s="71"/>
      <c r="S16" s="27">
        <f t="shared" si="6"/>
        <v>0</v>
      </c>
      <c r="T16" s="71"/>
      <c r="U16" s="27">
        <f t="shared" si="7"/>
        <v>0</v>
      </c>
      <c r="V16" s="69"/>
      <c r="W16" s="39">
        <f t="shared" si="8"/>
        <v>0</v>
      </c>
      <c r="Z16" s="3"/>
      <c r="AA16" s="2"/>
      <c r="AG16" s="33"/>
      <c r="AL16" s="301"/>
      <c r="AM16" s="301"/>
      <c r="AN16" s="301"/>
      <c r="AO16" s="301"/>
      <c r="AP16" s="316"/>
      <c r="AQ16" s="301"/>
      <c r="AY16" s="3"/>
      <c r="AZ16" s="3"/>
      <c r="BA16" s="2"/>
      <c r="BK16" s="3"/>
      <c r="BM16" s="3"/>
      <c r="BN16" s="28"/>
      <c r="BP16" s="25"/>
    </row>
    <row r="17" spans="1:68" ht="15" customHeight="1" thickBot="1" x14ac:dyDescent="0.3">
      <c r="A17" s="20">
        <f t="shared" si="0"/>
        <v>0</v>
      </c>
      <c r="B17" s="235"/>
      <c r="C17" s="31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/>
      <c r="G17" s="27"/>
      <c r="H17" s="71"/>
      <c r="I17" s="27">
        <f t="shared" si="1"/>
        <v>0</v>
      </c>
      <c r="J17" s="71"/>
      <c r="K17" s="27">
        <f t="shared" si="2"/>
        <v>0</v>
      </c>
      <c r="L17" s="71"/>
      <c r="M17" s="27">
        <f t="shared" si="3"/>
        <v>0</v>
      </c>
      <c r="N17" s="71"/>
      <c r="O17" s="27">
        <f t="shared" si="4"/>
        <v>0</v>
      </c>
      <c r="P17" s="71"/>
      <c r="Q17" s="27">
        <f t="shared" si="5"/>
        <v>0</v>
      </c>
      <c r="R17" s="71"/>
      <c r="S17" s="27">
        <f t="shared" si="6"/>
        <v>0</v>
      </c>
      <c r="T17" s="71"/>
      <c r="U17" s="27">
        <f t="shared" si="7"/>
        <v>0</v>
      </c>
      <c r="V17" s="69"/>
      <c r="W17" s="39">
        <f t="shared" si="8"/>
        <v>0</v>
      </c>
      <c r="Z17" s="3"/>
      <c r="AA17" s="2"/>
      <c r="AG17" s="33"/>
      <c r="AL17" s="301"/>
      <c r="AM17" s="301"/>
      <c r="AN17" s="301"/>
      <c r="AO17" s="301"/>
      <c r="AP17" s="316"/>
      <c r="AQ17" s="301"/>
      <c r="AY17" s="3"/>
      <c r="AZ17" s="3"/>
      <c r="BA17" s="2"/>
      <c r="BK17" s="3"/>
      <c r="BM17" s="3"/>
      <c r="BN17" s="28"/>
      <c r="BP17" s="25"/>
    </row>
    <row r="18" spans="1:68" ht="15" customHeight="1" thickBot="1" x14ac:dyDescent="0.3">
      <c r="A18" s="20">
        <f t="shared" si="0"/>
        <v>0</v>
      </c>
      <c r="B18" s="235"/>
      <c r="C18" s="31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/>
      <c r="G18" s="27"/>
      <c r="H18" s="71"/>
      <c r="I18" s="27">
        <f t="shared" si="1"/>
        <v>0</v>
      </c>
      <c r="J18" s="71"/>
      <c r="K18" s="27">
        <f t="shared" si="2"/>
        <v>0</v>
      </c>
      <c r="L18" s="71"/>
      <c r="M18" s="27">
        <f t="shared" si="3"/>
        <v>0</v>
      </c>
      <c r="N18" s="71"/>
      <c r="O18" s="27">
        <f t="shared" si="4"/>
        <v>0</v>
      </c>
      <c r="P18" s="71"/>
      <c r="Q18" s="27">
        <f t="shared" si="5"/>
        <v>0</v>
      </c>
      <c r="R18" s="71"/>
      <c r="S18" s="27">
        <f t="shared" si="6"/>
        <v>0</v>
      </c>
      <c r="T18" s="71"/>
      <c r="U18" s="27">
        <f t="shared" si="7"/>
        <v>0</v>
      </c>
      <c r="V18" s="69"/>
      <c r="W18" s="39">
        <f t="shared" si="8"/>
        <v>0</v>
      </c>
      <c r="Z18" s="3"/>
      <c r="AA18" s="2"/>
      <c r="AG18" s="33"/>
      <c r="AN18" s="301"/>
      <c r="AY18" s="3"/>
      <c r="AZ18" s="3"/>
      <c r="BA18" s="2"/>
      <c r="BK18" s="3"/>
      <c r="BM18" s="3"/>
      <c r="BN18" s="28"/>
      <c r="BP18" s="25"/>
    </row>
    <row r="19" spans="1:68" ht="15" customHeight="1" thickBot="1" x14ac:dyDescent="0.3">
      <c r="A19" s="20">
        <f t="shared" si="0"/>
        <v>0</v>
      </c>
      <c r="B19" s="235"/>
      <c r="C19" s="31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/>
      <c r="G19" s="27"/>
      <c r="H19" s="71"/>
      <c r="I19" s="27">
        <f t="shared" si="1"/>
        <v>0</v>
      </c>
      <c r="J19" s="71"/>
      <c r="K19" s="27">
        <f t="shared" si="2"/>
        <v>0</v>
      </c>
      <c r="L19" s="71"/>
      <c r="M19" s="27">
        <f t="shared" si="3"/>
        <v>0</v>
      </c>
      <c r="N19" s="71"/>
      <c r="O19" s="27">
        <f t="shared" si="4"/>
        <v>0</v>
      </c>
      <c r="P19" s="71"/>
      <c r="Q19" s="27">
        <f t="shared" si="5"/>
        <v>0</v>
      </c>
      <c r="R19" s="71"/>
      <c r="S19" s="27">
        <f t="shared" si="6"/>
        <v>0</v>
      </c>
      <c r="T19" s="71"/>
      <c r="U19" s="27">
        <f t="shared" si="7"/>
        <v>0</v>
      </c>
      <c r="V19" s="69"/>
      <c r="W19" s="39">
        <f t="shared" si="8"/>
        <v>0</v>
      </c>
      <c r="Z19" s="3"/>
      <c r="AA19" s="2"/>
      <c r="AG19" s="33"/>
      <c r="AN19" s="301"/>
      <c r="AY19" s="3"/>
      <c r="AZ19" s="3"/>
      <c r="BA19" s="2"/>
      <c r="BK19" s="3"/>
      <c r="BM19" s="3"/>
      <c r="BN19" s="28"/>
      <c r="BP19" s="25"/>
    </row>
    <row r="20" spans="1:68" ht="15" customHeight="1" thickBot="1" x14ac:dyDescent="0.3">
      <c r="A20" s="20">
        <f t="shared" si="0"/>
        <v>0</v>
      </c>
      <c r="B20" s="235"/>
      <c r="C20" s="31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/>
      <c r="G20" s="27"/>
      <c r="H20" s="71"/>
      <c r="I20" s="27">
        <f t="shared" si="1"/>
        <v>0</v>
      </c>
      <c r="J20" s="71"/>
      <c r="K20" s="27">
        <f t="shared" si="2"/>
        <v>0</v>
      </c>
      <c r="L20" s="71"/>
      <c r="M20" s="27">
        <f t="shared" si="3"/>
        <v>0</v>
      </c>
      <c r="N20" s="71"/>
      <c r="O20" s="27">
        <f t="shared" si="4"/>
        <v>0</v>
      </c>
      <c r="P20" s="71"/>
      <c r="Q20" s="27">
        <f t="shared" si="5"/>
        <v>0</v>
      </c>
      <c r="R20" s="71"/>
      <c r="S20" s="27">
        <f t="shared" si="6"/>
        <v>0</v>
      </c>
      <c r="T20" s="71"/>
      <c r="U20" s="27">
        <f t="shared" si="7"/>
        <v>0</v>
      </c>
      <c r="V20" s="69"/>
      <c r="W20" s="39">
        <f t="shared" si="8"/>
        <v>0</v>
      </c>
      <c r="Z20" s="3"/>
      <c r="AA20" s="2"/>
      <c r="AG20" s="33"/>
      <c r="AJ20" s="305"/>
      <c r="AK20" s="305"/>
      <c r="AL20" s="2"/>
      <c r="AN20" s="2"/>
      <c r="AO20" s="302"/>
      <c r="AP20" s="302"/>
      <c r="AQ20" s="33"/>
      <c r="AY20" s="3"/>
      <c r="AZ20" s="3"/>
      <c r="BK20" s="3"/>
      <c r="BM20" s="3"/>
      <c r="BN20" s="28"/>
      <c r="BP20" s="25"/>
    </row>
    <row r="21" spans="1:68" ht="15" customHeight="1" thickBot="1" x14ac:dyDescent="0.3">
      <c r="A21" s="20">
        <f t="shared" si="0"/>
        <v>0</v>
      </c>
      <c r="B21" s="235"/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/>
      <c r="G21" s="27"/>
      <c r="H21" s="71"/>
      <c r="I21" s="27">
        <f t="shared" si="1"/>
        <v>0</v>
      </c>
      <c r="J21" s="71"/>
      <c r="K21" s="27">
        <f t="shared" si="2"/>
        <v>0</v>
      </c>
      <c r="L21" s="71"/>
      <c r="M21" s="27">
        <f t="shared" si="3"/>
        <v>0</v>
      </c>
      <c r="N21" s="71"/>
      <c r="O21" s="27">
        <f t="shared" si="4"/>
        <v>0</v>
      </c>
      <c r="P21" s="71"/>
      <c r="Q21" s="27">
        <f t="shared" si="5"/>
        <v>0</v>
      </c>
      <c r="R21" s="71"/>
      <c r="S21" s="27">
        <f t="shared" si="6"/>
        <v>0</v>
      </c>
      <c r="T21" s="71"/>
      <c r="U21" s="27">
        <f t="shared" si="7"/>
        <v>0</v>
      </c>
      <c r="V21" s="69"/>
      <c r="W21" s="39">
        <f t="shared" si="8"/>
        <v>0</v>
      </c>
      <c r="Z21" s="3"/>
      <c r="AA21" s="2"/>
      <c r="AG21" s="33"/>
      <c r="AJ21" s="305"/>
      <c r="AK21" s="305"/>
      <c r="AL21" s="2"/>
      <c r="AO21" s="302"/>
      <c r="AP21" s="302"/>
      <c r="AQ21" s="33"/>
      <c r="AY21" s="3"/>
      <c r="AZ21" s="3"/>
      <c r="BK21" s="3"/>
      <c r="BM21" s="3"/>
      <c r="BN21" s="28"/>
      <c r="BP21" s="25"/>
    </row>
    <row r="22" spans="1:68" ht="15" customHeight="1" thickBot="1" x14ac:dyDescent="0.3">
      <c r="A22" s="20">
        <f t="shared" si="0"/>
        <v>0</v>
      </c>
      <c r="B22" s="235"/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/>
      <c r="G22" s="27"/>
      <c r="H22" s="71"/>
      <c r="I22" s="27">
        <f t="shared" si="1"/>
        <v>0</v>
      </c>
      <c r="J22" s="71"/>
      <c r="K22" s="27">
        <f t="shared" si="2"/>
        <v>0</v>
      </c>
      <c r="L22" s="71"/>
      <c r="M22" s="27">
        <f t="shared" si="3"/>
        <v>0</v>
      </c>
      <c r="N22" s="71"/>
      <c r="O22" s="27">
        <f t="shared" si="4"/>
        <v>0</v>
      </c>
      <c r="P22" s="71"/>
      <c r="Q22" s="27">
        <f t="shared" si="5"/>
        <v>0</v>
      </c>
      <c r="R22" s="71"/>
      <c r="S22" s="27">
        <f t="shared" si="6"/>
        <v>0</v>
      </c>
      <c r="T22" s="71"/>
      <c r="U22" s="27">
        <f t="shared" si="7"/>
        <v>0</v>
      </c>
      <c r="V22" s="69"/>
      <c r="W22" s="39">
        <f t="shared" si="8"/>
        <v>0</v>
      </c>
      <c r="Z22" s="3"/>
      <c r="AA22" s="2"/>
      <c r="AG22" s="33"/>
      <c r="AJ22" s="305"/>
      <c r="AK22" s="305"/>
      <c r="AL22" s="2"/>
      <c r="AO22" s="302"/>
      <c r="AP22" s="302"/>
      <c r="AQ22" s="33"/>
      <c r="AX22" s="312"/>
      <c r="AY22" s="3"/>
      <c r="AZ22" s="3"/>
      <c r="BK22" s="3"/>
      <c r="BM22" s="3"/>
      <c r="BN22" s="28"/>
      <c r="BP22" s="25"/>
    </row>
    <row r="23" spans="1:68" ht="15" customHeight="1" thickBot="1" x14ac:dyDescent="0.35">
      <c r="A23" s="20">
        <f t="shared" si="0"/>
        <v>0</v>
      </c>
      <c r="B23" s="235"/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/>
      <c r="G23" s="27"/>
      <c r="H23" s="71"/>
      <c r="I23" s="27">
        <f t="shared" si="1"/>
        <v>0</v>
      </c>
      <c r="J23" s="71"/>
      <c r="K23" s="27">
        <f t="shared" si="2"/>
        <v>0</v>
      </c>
      <c r="L23" s="71"/>
      <c r="M23" s="27">
        <f t="shared" si="3"/>
        <v>0</v>
      </c>
      <c r="N23" s="71"/>
      <c r="O23" s="27">
        <f t="shared" si="4"/>
        <v>0</v>
      </c>
      <c r="P23" s="71"/>
      <c r="Q23" s="27">
        <f t="shared" si="5"/>
        <v>0</v>
      </c>
      <c r="R23" s="71"/>
      <c r="S23" s="27">
        <f t="shared" si="6"/>
        <v>0</v>
      </c>
      <c r="T23" s="71"/>
      <c r="U23" s="27">
        <f t="shared" si="7"/>
        <v>0</v>
      </c>
      <c r="V23" s="69"/>
      <c r="W23" s="39">
        <f t="shared" si="8"/>
        <v>0</v>
      </c>
      <c r="Z23" s="3"/>
      <c r="AA23" s="2"/>
      <c r="AG23" s="33"/>
      <c r="AJ23" s="305"/>
      <c r="AK23" s="305"/>
      <c r="AL23" s="2"/>
      <c r="AO23" s="302"/>
      <c r="AP23" s="302"/>
      <c r="AQ23" s="33"/>
      <c r="AX23" s="312"/>
      <c r="AY23" s="3"/>
      <c r="AZ23" s="3"/>
      <c r="BA23" s="176"/>
      <c r="BK23" s="3"/>
      <c r="BM23" s="3"/>
      <c r="BN23" s="28"/>
      <c r="BP23" s="25"/>
    </row>
    <row r="24" spans="1:68" ht="15" customHeight="1" thickBot="1" x14ac:dyDescent="0.3">
      <c r="A24" s="20">
        <f t="shared" si="0"/>
        <v>0</v>
      </c>
      <c r="B24" s="235"/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/>
      <c r="G24" s="27"/>
      <c r="H24" s="71"/>
      <c r="I24" s="27">
        <f t="shared" si="1"/>
        <v>0</v>
      </c>
      <c r="J24" s="71"/>
      <c r="K24" s="27">
        <f t="shared" si="2"/>
        <v>0</v>
      </c>
      <c r="L24" s="71"/>
      <c r="M24" s="27">
        <f t="shared" si="3"/>
        <v>0</v>
      </c>
      <c r="N24" s="71"/>
      <c r="O24" s="27">
        <f t="shared" si="4"/>
        <v>0</v>
      </c>
      <c r="P24" s="71"/>
      <c r="Q24" s="27">
        <f t="shared" si="5"/>
        <v>0</v>
      </c>
      <c r="R24" s="71"/>
      <c r="S24" s="27">
        <f t="shared" si="6"/>
        <v>0</v>
      </c>
      <c r="T24" s="71"/>
      <c r="U24" s="27">
        <f t="shared" si="7"/>
        <v>0</v>
      </c>
      <c r="V24" s="69"/>
      <c r="W24" s="39">
        <f t="shared" si="8"/>
        <v>0</v>
      </c>
      <c r="Z24" s="3"/>
      <c r="AA24" s="2"/>
      <c r="AG24" s="33"/>
      <c r="AJ24" s="305"/>
      <c r="AK24" s="305"/>
      <c r="AL24" s="2"/>
      <c r="AO24" s="302"/>
      <c r="AP24" s="302"/>
      <c r="AQ24" s="33"/>
      <c r="AY24" s="3"/>
      <c r="AZ24" s="3"/>
      <c r="BA24" s="2"/>
      <c r="BK24" s="3"/>
      <c r="BM24" s="3"/>
      <c r="BN24" s="28"/>
      <c r="BP24" s="25"/>
    </row>
    <row r="25" spans="1:68" ht="15" customHeight="1" thickBot="1" x14ac:dyDescent="0.3">
      <c r="A25" s="20">
        <f t="shared" si="0"/>
        <v>0</v>
      </c>
      <c r="B25" s="235"/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/>
      <c r="G25" s="27"/>
      <c r="H25" s="71"/>
      <c r="I25" s="27">
        <f t="shared" si="1"/>
        <v>0</v>
      </c>
      <c r="J25" s="71"/>
      <c r="K25" s="27">
        <f t="shared" si="2"/>
        <v>0</v>
      </c>
      <c r="L25" s="71"/>
      <c r="M25" s="27">
        <f t="shared" si="3"/>
        <v>0</v>
      </c>
      <c r="N25" s="71"/>
      <c r="O25" s="27">
        <f t="shared" si="4"/>
        <v>0</v>
      </c>
      <c r="P25" s="71"/>
      <c r="Q25" s="27">
        <f t="shared" si="5"/>
        <v>0</v>
      </c>
      <c r="R25" s="71"/>
      <c r="S25" s="27">
        <f t="shared" si="6"/>
        <v>0</v>
      </c>
      <c r="T25" s="71"/>
      <c r="U25" s="27">
        <f t="shared" si="7"/>
        <v>0</v>
      </c>
      <c r="V25" s="69"/>
      <c r="W25" s="39">
        <f t="shared" si="8"/>
        <v>0</v>
      </c>
      <c r="Z25" s="3"/>
      <c r="AA25" s="2"/>
      <c r="AG25" s="33"/>
      <c r="AJ25" s="305"/>
      <c r="AK25" s="305"/>
      <c r="AL25" s="2"/>
      <c r="AO25" s="302"/>
      <c r="AP25" s="302"/>
      <c r="AQ25" s="33"/>
      <c r="AY25" s="3"/>
      <c r="AZ25" s="3"/>
      <c r="BA25" s="2"/>
      <c r="BK25" s="3"/>
      <c r="BM25" s="3"/>
      <c r="BN25" s="28"/>
      <c r="BP25" s="25"/>
    </row>
    <row r="26" spans="1:68" ht="15" customHeight="1" thickBot="1" x14ac:dyDescent="0.3">
      <c r="A26" s="20">
        <f t="shared" si="0"/>
        <v>0</v>
      </c>
      <c r="B26" s="235"/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/>
      <c r="G26" s="27"/>
      <c r="H26" s="71"/>
      <c r="I26" s="27">
        <f t="shared" si="1"/>
        <v>0</v>
      </c>
      <c r="J26" s="71"/>
      <c r="K26" s="27">
        <f t="shared" si="2"/>
        <v>0</v>
      </c>
      <c r="L26" s="71"/>
      <c r="M26" s="27">
        <f t="shared" si="3"/>
        <v>0</v>
      </c>
      <c r="N26" s="71"/>
      <c r="O26" s="27">
        <f t="shared" si="4"/>
        <v>0</v>
      </c>
      <c r="P26" s="71"/>
      <c r="Q26" s="27">
        <f t="shared" si="5"/>
        <v>0</v>
      </c>
      <c r="R26" s="71"/>
      <c r="S26" s="27">
        <f t="shared" si="6"/>
        <v>0</v>
      </c>
      <c r="T26" s="71"/>
      <c r="U26" s="27">
        <f t="shared" si="7"/>
        <v>0</v>
      </c>
      <c r="V26" s="69"/>
      <c r="W26" s="39">
        <f t="shared" si="8"/>
        <v>0</v>
      </c>
      <c r="Z26" s="3"/>
      <c r="AA26" s="2"/>
      <c r="AG26" s="33"/>
      <c r="AY26" s="3"/>
      <c r="AZ26" s="3"/>
      <c r="BA26" s="2"/>
      <c r="BK26" s="3"/>
      <c r="BM26" s="3"/>
      <c r="BN26" s="28"/>
      <c r="BP26" s="25"/>
    </row>
    <row r="27" spans="1:68" ht="13" thickBot="1" x14ac:dyDescent="0.3">
      <c r="A27" s="20">
        <f t="shared" si="0"/>
        <v>0</v>
      </c>
      <c r="B27" s="235"/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/>
      <c r="G27" s="27"/>
      <c r="H27" s="71"/>
      <c r="I27" s="27">
        <f t="shared" si="1"/>
        <v>0</v>
      </c>
      <c r="J27" s="71"/>
      <c r="K27" s="27">
        <f t="shared" si="2"/>
        <v>0</v>
      </c>
      <c r="L27" s="71"/>
      <c r="M27" s="27">
        <f t="shared" si="3"/>
        <v>0</v>
      </c>
      <c r="N27" s="71"/>
      <c r="O27" s="27">
        <f t="shared" si="4"/>
        <v>0</v>
      </c>
      <c r="P27" s="71"/>
      <c r="Q27" s="27">
        <f t="shared" si="5"/>
        <v>0</v>
      </c>
      <c r="R27" s="71"/>
      <c r="S27" s="27">
        <f t="shared" si="6"/>
        <v>0</v>
      </c>
      <c r="T27" s="71"/>
      <c r="U27" s="27">
        <f t="shared" si="7"/>
        <v>0</v>
      </c>
      <c r="V27" s="69"/>
      <c r="W27" s="39">
        <f t="shared" si="8"/>
        <v>0</v>
      </c>
      <c r="Z27" s="3"/>
      <c r="AA27" s="2"/>
      <c r="AG27" s="33"/>
      <c r="AJ27" s="98"/>
      <c r="AK27" s="98"/>
      <c r="AL27" s="98"/>
      <c r="AM27" s="98"/>
      <c r="AN27" s="98"/>
      <c r="AO27" s="98"/>
      <c r="AP27" s="98"/>
      <c r="AQ27" s="98"/>
      <c r="AY27" s="3"/>
      <c r="AZ27" s="3"/>
      <c r="BA27" s="2"/>
      <c r="BK27" s="3"/>
      <c r="BM27" s="3"/>
      <c r="BN27" s="28"/>
      <c r="BP27" s="25"/>
    </row>
    <row r="28" spans="1:68" ht="14.25" customHeight="1" thickBot="1" x14ac:dyDescent="0.3">
      <c r="A28" s="20">
        <f t="shared" si="0"/>
        <v>0</v>
      </c>
      <c r="B28" s="235"/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/>
      <c r="G28" s="27"/>
      <c r="H28" s="71"/>
      <c r="I28" s="27">
        <f t="shared" si="1"/>
        <v>0</v>
      </c>
      <c r="J28" s="71"/>
      <c r="K28" s="27">
        <f t="shared" si="2"/>
        <v>0</v>
      </c>
      <c r="L28" s="71"/>
      <c r="M28" s="27">
        <f t="shared" si="3"/>
        <v>0</v>
      </c>
      <c r="N28" s="71"/>
      <c r="O28" s="27">
        <f t="shared" si="4"/>
        <v>0</v>
      </c>
      <c r="P28" s="71"/>
      <c r="Q28" s="27">
        <f t="shared" si="5"/>
        <v>0</v>
      </c>
      <c r="R28" s="71"/>
      <c r="S28" s="27">
        <f t="shared" si="6"/>
        <v>0</v>
      </c>
      <c r="T28" s="71"/>
      <c r="U28" s="27">
        <f t="shared" si="7"/>
        <v>0</v>
      </c>
      <c r="V28" s="69"/>
      <c r="W28" s="39">
        <f t="shared" si="8"/>
        <v>0</v>
      </c>
      <c r="Z28" s="3"/>
      <c r="AA28" s="2"/>
      <c r="AG28" s="33"/>
      <c r="AY28" s="3"/>
      <c r="AZ28" s="3"/>
      <c r="BA28" s="2"/>
    </row>
    <row r="29" spans="1:68" ht="13.5" thickBot="1" x14ac:dyDescent="0.35">
      <c r="A29" s="20">
        <f t="shared" si="0"/>
        <v>0</v>
      </c>
      <c r="B29" s="235"/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/>
      <c r="G29" s="27"/>
      <c r="H29" s="71"/>
      <c r="I29" s="27">
        <f t="shared" si="1"/>
        <v>0</v>
      </c>
      <c r="J29" s="71"/>
      <c r="K29" s="27">
        <f t="shared" si="2"/>
        <v>0</v>
      </c>
      <c r="L29" s="71"/>
      <c r="M29" s="27">
        <f t="shared" si="3"/>
        <v>0</v>
      </c>
      <c r="N29" s="71"/>
      <c r="O29" s="27">
        <f t="shared" si="4"/>
        <v>0</v>
      </c>
      <c r="P29" s="71"/>
      <c r="Q29" s="27">
        <f t="shared" si="5"/>
        <v>0</v>
      </c>
      <c r="R29" s="71"/>
      <c r="S29" s="27">
        <f t="shared" si="6"/>
        <v>0</v>
      </c>
      <c r="T29" s="71"/>
      <c r="U29" s="27">
        <f t="shared" si="7"/>
        <v>0</v>
      </c>
      <c r="V29" s="69"/>
      <c r="W29" s="39">
        <f t="shared" si="8"/>
        <v>0</v>
      </c>
      <c r="Z29" s="3"/>
      <c r="AA29" s="2"/>
      <c r="AG29" s="33"/>
      <c r="AY29" s="3"/>
      <c r="AZ29" s="3"/>
      <c r="BA29" s="176"/>
      <c r="BC29" s="3"/>
    </row>
    <row r="30" spans="1:68" ht="14.25" customHeight="1" thickBot="1" x14ac:dyDescent="0.3">
      <c r="A30" s="21">
        <f t="shared" si="0"/>
        <v>0</v>
      </c>
      <c r="B30" s="235"/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/>
      <c r="G30" s="27"/>
      <c r="H30" s="71"/>
      <c r="I30" s="27">
        <f t="shared" si="1"/>
        <v>0</v>
      </c>
      <c r="J30" s="71"/>
      <c r="K30" s="27">
        <f t="shared" si="2"/>
        <v>0</v>
      </c>
      <c r="L30" s="71"/>
      <c r="M30" s="27">
        <f t="shared" si="3"/>
        <v>0</v>
      </c>
      <c r="N30" s="71"/>
      <c r="O30" s="27">
        <f t="shared" si="4"/>
        <v>0</v>
      </c>
      <c r="P30" s="71"/>
      <c r="Q30" s="27">
        <f t="shared" si="5"/>
        <v>0</v>
      </c>
      <c r="R30" s="71"/>
      <c r="S30" s="27">
        <f t="shared" si="6"/>
        <v>0</v>
      </c>
      <c r="T30" s="71"/>
      <c r="U30" s="27">
        <f t="shared" si="7"/>
        <v>0</v>
      </c>
      <c r="V30" s="69"/>
      <c r="W30" s="39">
        <f t="shared" si="8"/>
        <v>0</v>
      </c>
      <c r="Z30" s="3"/>
      <c r="AA30" s="2"/>
      <c r="AG30" s="33"/>
      <c r="AY30" s="3"/>
      <c r="AZ30" s="3"/>
      <c r="BA30" s="2"/>
      <c r="BD30" s="3"/>
    </row>
    <row r="31" spans="1:68" ht="16.5" customHeight="1" thickBot="1" x14ac:dyDescent="0.3">
      <c r="D31" s="25" t="s">
        <v>118</v>
      </c>
      <c r="E31" s="44"/>
      <c r="F31" s="73"/>
      <c r="G31" s="40"/>
      <c r="H31" s="73"/>
      <c r="I31" s="40">
        <f t="shared" si="1"/>
        <v>0</v>
      </c>
      <c r="J31" s="72"/>
      <c r="K31" s="40">
        <f t="shared" si="2"/>
        <v>0</v>
      </c>
      <c r="L31" s="72"/>
      <c r="M31" s="40">
        <f t="shared" si="3"/>
        <v>0</v>
      </c>
      <c r="N31" s="72"/>
      <c r="O31" s="40">
        <f t="shared" si="4"/>
        <v>0</v>
      </c>
      <c r="P31" s="72"/>
      <c r="Q31" s="40">
        <f t="shared" si="5"/>
        <v>0</v>
      </c>
      <c r="R31" s="72"/>
      <c r="S31" s="40">
        <f t="shared" si="6"/>
        <v>0</v>
      </c>
      <c r="T31" s="72"/>
      <c r="U31" s="40">
        <f t="shared" si="7"/>
        <v>0</v>
      </c>
      <c r="V31" s="70"/>
      <c r="W31" s="41">
        <f t="shared" si="8"/>
        <v>0</v>
      </c>
      <c r="Z31" s="3"/>
      <c r="AA31" s="2"/>
      <c r="AG31" s="33"/>
      <c r="AY31" s="3"/>
      <c r="AZ31" s="3"/>
      <c r="BA31" s="2"/>
      <c r="BC31" s="133"/>
      <c r="BD31" s="3"/>
    </row>
    <row r="32" spans="1:68" ht="13" thickBot="1" x14ac:dyDescent="0.3">
      <c r="D32" s="42" t="s">
        <v>119</v>
      </c>
      <c r="E32" s="45">
        <f>SUM(E11:E30)</f>
        <v>7496</v>
      </c>
      <c r="F32" s="46"/>
      <c r="G32" s="47"/>
      <c r="H32" s="48"/>
      <c r="I32" s="49">
        <f>SUM(I11:I31)</f>
        <v>0</v>
      </c>
      <c r="J32" s="43"/>
      <c r="K32" s="49">
        <f>SUM(K11:K31)</f>
        <v>0</v>
      </c>
      <c r="L32" s="43"/>
      <c r="M32" s="49">
        <f>SUM(M11:M31)</f>
        <v>0</v>
      </c>
      <c r="N32" s="43"/>
      <c r="O32" s="49">
        <f>SUM(O11:O31)</f>
        <v>0</v>
      </c>
      <c r="P32" s="43"/>
      <c r="Q32" s="49">
        <f>SUM(Q11:Q31)</f>
        <v>0</v>
      </c>
      <c r="R32" s="43"/>
      <c r="S32" s="49">
        <f>SUM(S11:S31)</f>
        <v>0</v>
      </c>
      <c r="T32" s="43"/>
      <c r="U32" s="49">
        <f>SUM(U11:U31)</f>
        <v>0</v>
      </c>
      <c r="V32" s="46"/>
      <c r="W32" s="50">
        <f>SUM(W11:W31)</f>
        <v>0</v>
      </c>
      <c r="Z32" s="3"/>
      <c r="AA32" s="2"/>
      <c r="AG32" s="33"/>
      <c r="BD32" s="3"/>
    </row>
    <row r="33" spans="4:66" ht="13" thickBot="1" x14ac:dyDescent="0.3">
      <c r="D33" s="25"/>
      <c r="E33" t="str">
        <f>IF(E32=$G4,"Totals Correct","ERROR")</f>
        <v>Totals Correct</v>
      </c>
      <c r="Z33" s="3"/>
      <c r="AA33" s="2"/>
      <c r="AG33" s="33"/>
    </row>
    <row r="34" spans="4:66" ht="13" thickBot="1" x14ac:dyDescent="0.3">
      <c r="D34" s="42" t="s">
        <v>120</v>
      </c>
      <c r="E34" s="185">
        <f>'Verification of Boxes'!Q25</f>
        <v>0.5083333333333333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4"/>
    </row>
    <row r="36" spans="4:66" x14ac:dyDescent="0.25">
      <c r="AK36" s="33"/>
    </row>
    <row r="41" spans="4:66" ht="12.75" customHeight="1" x14ac:dyDescent="0.25"/>
    <row r="43" spans="4:66" ht="18" customHeight="1" x14ac:dyDescent="0.35">
      <c r="AJ43" s="36"/>
      <c r="AK43" s="36"/>
      <c r="AL43" s="36"/>
      <c r="AM43" s="36"/>
      <c r="AN43" s="36"/>
    </row>
    <row r="44" spans="4:66" x14ac:dyDescent="0.25">
      <c r="AL44" s="2"/>
      <c r="AN44" s="2"/>
      <c r="AP44" s="2"/>
      <c r="AR44" s="2"/>
      <c r="AT44" s="2"/>
      <c r="AV44" s="2"/>
    </row>
    <row r="45" spans="4:66" x14ac:dyDescent="0.25">
      <c r="AL45" s="2"/>
      <c r="AN45" s="2"/>
      <c r="AP45" s="2"/>
      <c r="AR45" s="2"/>
      <c r="AT45" s="2"/>
      <c r="AV45" s="2"/>
    </row>
    <row r="46" spans="4:66" x14ac:dyDescent="0.25">
      <c r="AK46" s="2"/>
      <c r="AM46" s="2"/>
      <c r="AO46" s="2"/>
      <c r="AQ46" s="2"/>
      <c r="AS46" s="2"/>
      <c r="AU46" s="2"/>
      <c r="BC46" s="91"/>
      <c r="BG46" s="91"/>
      <c r="BH46" s="91"/>
      <c r="BI46" s="91"/>
      <c r="BJ46" s="91"/>
      <c r="BK46" s="91"/>
      <c r="BL46" s="91"/>
      <c r="BM46" s="91"/>
      <c r="BN46" s="91"/>
    </row>
    <row r="47" spans="4:66" x14ac:dyDescent="0.25">
      <c r="AK47" s="2"/>
      <c r="AM47" s="2"/>
      <c r="AO47" s="2"/>
      <c r="AQ47" s="2"/>
      <c r="AS47" s="2"/>
      <c r="AU47" s="2"/>
    </row>
    <row r="48" spans="4:66" x14ac:dyDescent="0.25">
      <c r="AK48" s="2"/>
      <c r="AM48" s="2"/>
      <c r="AO48" s="2"/>
      <c r="AQ48" s="2"/>
      <c r="AS48" s="2"/>
      <c r="AU48" s="2"/>
    </row>
    <row r="49" spans="37:47" ht="12.75" customHeight="1" x14ac:dyDescent="0.25">
      <c r="AK49" s="2"/>
      <c r="AM49" s="2"/>
      <c r="AO49" s="2"/>
      <c r="AQ49" s="2"/>
      <c r="AS49" s="2"/>
      <c r="AU49" s="2"/>
    </row>
    <row r="50" spans="37:47" x14ac:dyDescent="0.25">
      <c r="AK50" s="2"/>
      <c r="AM50" s="2"/>
      <c r="AO50" s="2"/>
      <c r="AQ50" s="2"/>
      <c r="AS50" s="2"/>
      <c r="AU50" s="2"/>
    </row>
    <row r="51" spans="37:47" x14ac:dyDescent="0.25">
      <c r="AK51" s="2"/>
      <c r="AM51" s="2"/>
      <c r="AO51" s="2"/>
      <c r="AQ51" s="2"/>
      <c r="AS51" s="2"/>
      <c r="AU51" s="2"/>
    </row>
    <row r="52" spans="37:47" x14ac:dyDescent="0.25">
      <c r="AK52" s="2"/>
      <c r="AM52" s="2"/>
      <c r="AO52" s="2"/>
      <c r="AQ52" s="2"/>
      <c r="AS52" s="2"/>
      <c r="AU52" s="2"/>
    </row>
    <row r="53" spans="37:47" x14ac:dyDescent="0.25">
      <c r="AK53" s="2"/>
      <c r="AM53" s="2"/>
      <c r="AO53" s="2"/>
      <c r="AQ53" s="2"/>
      <c r="AS53" s="2"/>
      <c r="AU53" s="2"/>
    </row>
    <row r="54" spans="37:47" x14ac:dyDescent="0.25">
      <c r="AK54" s="2"/>
      <c r="AM54" s="2"/>
      <c r="AO54" s="2"/>
      <c r="AQ54" s="2"/>
      <c r="AS54" s="2"/>
      <c r="AU54" s="2"/>
    </row>
    <row r="55" spans="37:47" x14ac:dyDescent="0.25">
      <c r="AK55" s="2"/>
      <c r="AM55" s="2"/>
      <c r="AO55" s="2"/>
      <c r="AQ55" s="2"/>
      <c r="AS55" s="2"/>
      <c r="AU55" s="2"/>
    </row>
    <row r="56" spans="37:47" x14ac:dyDescent="0.25">
      <c r="AK56" s="2"/>
      <c r="AM56" s="2"/>
      <c r="AO56" s="2"/>
      <c r="AQ56" s="2"/>
      <c r="AS56" s="2"/>
      <c r="AU56" s="2"/>
    </row>
    <row r="57" spans="37:47" ht="12.75" customHeight="1" x14ac:dyDescent="0.25">
      <c r="AK57" s="2"/>
      <c r="AM57" s="2"/>
      <c r="AO57" s="2"/>
      <c r="AQ57" s="2"/>
      <c r="AS57" s="2"/>
      <c r="AU57" s="2"/>
    </row>
    <row r="58" spans="37:47" ht="12.75" customHeight="1" x14ac:dyDescent="0.25">
      <c r="AK58" s="2"/>
      <c r="AM58" s="2"/>
      <c r="AO58" s="2"/>
      <c r="AQ58" s="2"/>
      <c r="AS58" s="2"/>
      <c r="AU58" s="2"/>
    </row>
    <row r="59" spans="37:47" x14ac:dyDescent="0.25">
      <c r="AK59" s="2"/>
      <c r="AM59" s="2"/>
      <c r="AO59" s="2"/>
      <c r="AQ59" s="2"/>
      <c r="AS59" s="2"/>
      <c r="AU59" s="2"/>
    </row>
    <row r="60" spans="37:47" x14ac:dyDescent="0.25">
      <c r="AK60" s="2"/>
      <c r="AM60" s="2"/>
      <c r="AO60" s="2"/>
      <c r="AQ60" s="2"/>
      <c r="AS60" s="2"/>
      <c r="AU60" s="2"/>
    </row>
    <row r="61" spans="37:47" ht="13.5" customHeight="1" x14ac:dyDescent="0.25">
      <c r="AK61" s="2"/>
      <c r="AM61" s="2"/>
      <c r="AO61" s="2"/>
      <c r="AQ61" s="2"/>
      <c r="AS61" s="2"/>
      <c r="AU61" s="2"/>
    </row>
    <row r="62" spans="37:47" ht="15" customHeight="1" x14ac:dyDescent="0.25">
      <c r="AK62" s="2"/>
      <c r="AM62" s="2"/>
      <c r="AO62" s="2"/>
      <c r="AQ62" s="2"/>
      <c r="AS62" s="2"/>
      <c r="AU62" s="2"/>
    </row>
    <row r="63" spans="37:47" x14ac:dyDescent="0.25">
      <c r="AK63" s="2"/>
      <c r="AM63" s="2"/>
      <c r="AO63" s="2"/>
      <c r="AQ63" s="2"/>
      <c r="AS63" s="2"/>
      <c r="AU63" s="2"/>
    </row>
    <row r="64" spans="37:47" ht="14.25" customHeight="1" x14ac:dyDescent="0.25">
      <c r="AK64" s="2"/>
      <c r="AM64" s="2"/>
      <c r="AO64" s="2"/>
      <c r="AQ64" s="2"/>
      <c r="AS64" s="2"/>
      <c r="AU64" s="2"/>
    </row>
    <row r="65" spans="37:47" x14ac:dyDescent="0.25">
      <c r="AK65" s="2"/>
      <c r="AM65" s="2"/>
      <c r="AO65" s="2"/>
      <c r="AQ65" s="2"/>
      <c r="AS65" s="2"/>
      <c r="AU65" s="2"/>
    </row>
    <row r="67" spans="37:47" ht="12.75" customHeight="1" x14ac:dyDescent="0.25"/>
    <row r="112" ht="12.75" customHeight="1" x14ac:dyDescent="0.25"/>
    <row r="209" spans="105:108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</row>
    <row r="210" spans="105:108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</row>
    <row r="211" spans="105:108" ht="15.5" x14ac:dyDescent="0.35">
      <c r="DA211" s="232" t="str">
        <f>IF(A11="Elected","E",IF(A11="Excluded","Excluded",""))&amp;IF(B11&gt;0,B11,"")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</row>
    <row r="212" spans="105:108" ht="15.5" x14ac:dyDescent="0.35">
      <c r="DA212" s="232" t="str">
        <f t="shared" ref="DA212:DA230" si="9">IF(A12="Elected","E",IF(A12="Excluded","Excluded",""))&amp;IF(B12&gt;0,B12,"")</f>
        <v/>
      </c>
      <c r="DB212" s="232" t="str">
        <f t="shared" ref="DB212:DD227" si="10">C12</f>
        <v>FLYNN</v>
      </c>
      <c r="DC212" s="232" t="str">
        <f t="shared" si="10"/>
        <v>Sinn Féin</v>
      </c>
      <c r="DD212" s="233">
        <f t="shared" si="10"/>
        <v>493</v>
      </c>
    </row>
    <row r="213" spans="105:108" ht="15.5" x14ac:dyDescent="0.35">
      <c r="DA213" s="232" t="str">
        <f t="shared" si="9"/>
        <v/>
      </c>
      <c r="DB213" s="232" t="str">
        <f t="shared" si="10"/>
        <v>FRENCH</v>
      </c>
      <c r="DC213" s="232" t="str">
        <f t="shared" si="10"/>
        <v xml:space="preserve">SDLP </v>
      </c>
      <c r="DD213" s="233">
        <f t="shared" si="10"/>
        <v>472</v>
      </c>
    </row>
    <row r="214" spans="105:108" ht="15.5" x14ac:dyDescent="0.35">
      <c r="DA214" s="232" t="str">
        <f t="shared" si="9"/>
        <v/>
      </c>
      <c r="DB214" s="232" t="str">
        <f t="shared" si="10"/>
        <v>GIVAN</v>
      </c>
      <c r="DC214" s="232" t="str">
        <f t="shared" si="10"/>
        <v>D.U.P.</v>
      </c>
      <c r="DD214" s="233">
        <f t="shared" si="10"/>
        <v>1038</v>
      </c>
    </row>
    <row r="215" spans="105:108" ht="15.5" x14ac:dyDescent="0.35">
      <c r="DA215" s="232" t="str">
        <f t="shared" si="9"/>
        <v>E2</v>
      </c>
      <c r="DB215" s="232" t="str">
        <f t="shared" si="10"/>
        <v>GREHAN</v>
      </c>
      <c r="DC215" s="232" t="str">
        <f t="shared" si="10"/>
        <v>Alliance Party</v>
      </c>
      <c r="DD215" s="233">
        <f t="shared" si="10"/>
        <v>1111</v>
      </c>
    </row>
    <row r="216" spans="105:108" ht="15.5" x14ac:dyDescent="0.35">
      <c r="DA216" s="232" t="str">
        <f t="shared" si="9"/>
        <v/>
      </c>
      <c r="DB216" s="232" t="str">
        <f t="shared" si="10"/>
        <v>KENNEDY</v>
      </c>
      <c r="DC216" s="232" t="str">
        <f t="shared" si="10"/>
        <v>Alliance Party</v>
      </c>
      <c r="DD216" s="233">
        <f t="shared" si="10"/>
        <v>674</v>
      </c>
    </row>
    <row r="217" spans="105:108" ht="15.5" x14ac:dyDescent="0.35">
      <c r="DA217" s="232" t="str">
        <f t="shared" si="9"/>
        <v/>
      </c>
      <c r="DB217" s="232" t="str">
        <f t="shared" si="10"/>
        <v>MCEVOY</v>
      </c>
      <c r="DC217" s="232" t="str">
        <f t="shared" si="10"/>
        <v xml:space="preserve">TUV </v>
      </c>
      <c r="DD217" s="233">
        <f t="shared" si="10"/>
        <v>387</v>
      </c>
    </row>
    <row r="218" spans="105:108" ht="15.5" x14ac:dyDescent="0.35">
      <c r="DA218" s="232" t="str">
        <f t="shared" si="9"/>
        <v/>
      </c>
      <c r="DB218" s="232" t="str">
        <f t="shared" si="10"/>
        <v>MITCHELL</v>
      </c>
      <c r="DC218" s="232" t="str">
        <f t="shared" si="10"/>
        <v>UUP</v>
      </c>
      <c r="DD218" s="233">
        <f t="shared" si="10"/>
        <v>870</v>
      </c>
    </row>
    <row r="219" spans="105:108" ht="15.5" x14ac:dyDescent="0.35">
      <c r="DA219" s="232" t="str">
        <f t="shared" si="9"/>
        <v/>
      </c>
      <c r="DB219" s="232" t="str">
        <f t="shared" si="10"/>
        <v>PALMER</v>
      </c>
      <c r="DC219" s="232" t="str">
        <f t="shared" si="10"/>
        <v>UUP</v>
      </c>
      <c r="DD219" s="233">
        <f t="shared" si="10"/>
        <v>625</v>
      </c>
    </row>
    <row r="220" spans="105:108" ht="15.5" x14ac:dyDescent="0.35">
      <c r="DA220" s="232" t="str">
        <f t="shared" si="9"/>
        <v/>
      </c>
      <c r="DB220" s="232" t="str">
        <f t="shared" si="10"/>
        <v>PORTER</v>
      </c>
      <c r="DC220" s="232" t="str">
        <f t="shared" si="10"/>
        <v>D.U.P.</v>
      </c>
      <c r="DD220" s="233">
        <f t="shared" si="10"/>
        <v>687</v>
      </c>
    </row>
    <row r="221" spans="105:108" ht="15.5" x14ac:dyDescent="0.35">
      <c r="DA221" s="232" t="str">
        <f t="shared" si="9"/>
        <v/>
      </c>
      <c r="DB221" s="232">
        <f t="shared" si="10"/>
        <v>0</v>
      </c>
      <c r="DC221" s="232">
        <f t="shared" si="10"/>
        <v>0</v>
      </c>
      <c r="DD221" s="233">
        <f t="shared" si="10"/>
        <v>0</v>
      </c>
    </row>
    <row r="222" spans="105:108" ht="15.5" x14ac:dyDescent="0.35">
      <c r="DA222" s="232" t="str">
        <f t="shared" si="9"/>
        <v/>
      </c>
      <c r="DB222" s="232">
        <f t="shared" si="10"/>
        <v>0</v>
      </c>
      <c r="DC222" s="232">
        <f t="shared" si="10"/>
        <v>0</v>
      </c>
      <c r="DD222" s="233">
        <f t="shared" si="10"/>
        <v>0</v>
      </c>
    </row>
    <row r="223" spans="105:108" ht="15.5" x14ac:dyDescent="0.35">
      <c r="DA223" s="232" t="str">
        <f t="shared" si="9"/>
        <v/>
      </c>
      <c r="DB223" s="232">
        <f t="shared" si="10"/>
        <v>0</v>
      </c>
      <c r="DC223" s="232">
        <f t="shared" si="10"/>
        <v>0</v>
      </c>
      <c r="DD223" s="233">
        <f t="shared" si="10"/>
        <v>0</v>
      </c>
    </row>
    <row r="224" spans="105:108" ht="15.5" x14ac:dyDescent="0.35">
      <c r="DA224" s="232" t="str">
        <f t="shared" si="9"/>
        <v/>
      </c>
      <c r="DB224" s="232">
        <f t="shared" si="10"/>
        <v>0</v>
      </c>
      <c r="DC224" s="232">
        <f t="shared" si="10"/>
        <v>0</v>
      </c>
      <c r="DD224" s="233">
        <f t="shared" si="10"/>
        <v>0</v>
      </c>
    </row>
    <row r="225" spans="105:108" ht="15.5" x14ac:dyDescent="0.35">
      <c r="DA225" s="232" t="str">
        <f t="shared" si="9"/>
        <v/>
      </c>
      <c r="DB225" s="232">
        <f t="shared" si="10"/>
        <v>0</v>
      </c>
      <c r="DC225" s="232">
        <f t="shared" si="10"/>
        <v>0</v>
      </c>
      <c r="DD225" s="233">
        <f t="shared" si="10"/>
        <v>0</v>
      </c>
    </row>
    <row r="226" spans="105:108" ht="15.5" x14ac:dyDescent="0.35">
      <c r="DA226" s="232" t="str">
        <f t="shared" si="9"/>
        <v/>
      </c>
      <c r="DB226" s="232">
        <f t="shared" si="10"/>
        <v>0</v>
      </c>
      <c r="DC226" s="232">
        <f t="shared" si="10"/>
        <v>0</v>
      </c>
      <c r="DD226" s="233">
        <f t="shared" si="10"/>
        <v>0</v>
      </c>
    </row>
    <row r="227" spans="105:108" ht="15.5" x14ac:dyDescent="0.35">
      <c r="DA227" s="232" t="str">
        <f t="shared" si="9"/>
        <v/>
      </c>
      <c r="DB227" s="232">
        <f t="shared" si="10"/>
        <v>0</v>
      </c>
      <c r="DC227" s="232">
        <f t="shared" si="10"/>
        <v>0</v>
      </c>
      <c r="DD227" s="233">
        <f t="shared" si="10"/>
        <v>0</v>
      </c>
    </row>
    <row r="228" spans="105:108" ht="15.5" x14ac:dyDescent="0.35">
      <c r="DA228" s="232" t="str">
        <f t="shared" si="9"/>
        <v/>
      </c>
      <c r="DB228" s="232">
        <f t="shared" ref="DB228:DD230" si="11">C28</f>
        <v>0</v>
      </c>
      <c r="DC228" s="232">
        <f t="shared" si="11"/>
        <v>0</v>
      </c>
      <c r="DD228" s="233">
        <f t="shared" si="11"/>
        <v>0</v>
      </c>
    </row>
    <row r="229" spans="105:108" ht="15.5" x14ac:dyDescent="0.35">
      <c r="DA229" s="232" t="str">
        <f t="shared" si="9"/>
        <v/>
      </c>
      <c r="DB229" s="232">
        <f t="shared" si="11"/>
        <v>0</v>
      </c>
      <c r="DC229" s="232">
        <f t="shared" si="11"/>
        <v>0</v>
      </c>
      <c r="DD229" s="233">
        <f t="shared" si="11"/>
        <v>0</v>
      </c>
    </row>
    <row r="230" spans="105:108" ht="15.5" x14ac:dyDescent="0.35">
      <c r="DA230" s="232" t="str">
        <f t="shared" si="9"/>
        <v/>
      </c>
      <c r="DB230" s="232">
        <f t="shared" si="11"/>
        <v>0</v>
      </c>
      <c r="DC230" s="232">
        <f t="shared" si="11"/>
        <v>0</v>
      </c>
      <c r="DD230" s="233">
        <f t="shared" si="11"/>
        <v>0</v>
      </c>
    </row>
    <row r="231" spans="105:108" ht="18" x14ac:dyDescent="0.5">
      <c r="DC231" s="234" t="s">
        <v>123</v>
      </c>
      <c r="DD231" s="231"/>
    </row>
    <row r="232" spans="105:108" ht="15.5" x14ac:dyDescent="0.35">
      <c r="DC232" s="234" t="s">
        <v>124</v>
      </c>
      <c r="DD232" s="233">
        <f>E32</f>
        <v>7496</v>
      </c>
    </row>
  </sheetData>
  <sheetProtection sheet="1" objects="1" scenarios="1"/>
  <protectedRanges>
    <protectedRange sqref="AQ5" name="Range3_1"/>
    <protectedRange sqref="BR3:BX3" name="Range21"/>
    <protectedRange sqref="BA10" name="Range5"/>
    <protectedRange sqref="BA13:BA14" name="Range6"/>
    <protectedRange sqref="BD5:BD24" name="Range7"/>
    <protectedRange sqref="BD26" name="Range8"/>
    <protectedRange sqref="BR3" name="Range9"/>
    <protectedRange sqref="BN8:BN27" name="Range10"/>
    <protectedRange sqref="BQ8:BQ28" name="Range11"/>
    <protectedRange sqref="BS8:BS28" name="Range12"/>
    <protectedRange sqref="BU8:BU28" name="Range13"/>
    <protectedRange sqref="BV6" name="Range14"/>
    <protectedRange sqref="BW8:BW28" name="Range15"/>
    <protectedRange sqref="BX6" name="Range16"/>
    <protectedRange sqref="BY8:BY28" name="Range17"/>
    <protectedRange sqref="BZ6" name="Range18"/>
    <protectedRange sqref="CA8:CA28" name="Range19"/>
    <protectedRange sqref="CB6" name="Range20"/>
    <protectedRange sqref="BF5:BF24" name="Range22"/>
  </protectedRanges>
  <mergeCells count="81">
    <mergeCell ref="R9:S9"/>
    <mergeCell ref="T9:U9"/>
    <mergeCell ref="T8:U8"/>
    <mergeCell ref="L8:M8"/>
    <mergeCell ref="P8:Q8"/>
    <mergeCell ref="H6:I6"/>
    <mergeCell ref="H7:I7"/>
    <mergeCell ref="F7:G7"/>
    <mergeCell ref="P7:Q7"/>
    <mergeCell ref="F9:G9"/>
    <mergeCell ref="H9:I9"/>
    <mergeCell ref="J9:K9"/>
    <mergeCell ref="L9:M9"/>
    <mergeCell ref="N9:O9"/>
    <mergeCell ref="P9:Q9"/>
    <mergeCell ref="N8:O8"/>
    <mergeCell ref="Z2:AF2"/>
    <mergeCell ref="Z7:AE7"/>
    <mergeCell ref="N6:O6"/>
    <mergeCell ref="N7:O7"/>
    <mergeCell ref="V6:W6"/>
    <mergeCell ref="R6:S6"/>
    <mergeCell ref="V7:W7"/>
    <mergeCell ref="Z6:AE6"/>
    <mergeCell ref="T6:U6"/>
    <mergeCell ref="T7:U7"/>
    <mergeCell ref="BZ2:CC2"/>
    <mergeCell ref="BG3:BI3"/>
    <mergeCell ref="AQ6:AQ7"/>
    <mergeCell ref="BG2:BI2"/>
    <mergeCell ref="BR3:BX3"/>
    <mergeCell ref="BN5:BN7"/>
    <mergeCell ref="BZ3:CC3"/>
    <mergeCell ref="K1:L1"/>
    <mergeCell ref="H3:I3"/>
    <mergeCell ref="O4:S4"/>
    <mergeCell ref="O3:S3"/>
    <mergeCell ref="H4:I4"/>
    <mergeCell ref="O2:S2"/>
    <mergeCell ref="AX22:AX23"/>
    <mergeCell ref="AJ24:AK24"/>
    <mergeCell ref="Z5:AE5"/>
    <mergeCell ref="Z3:AF3"/>
    <mergeCell ref="AQ9:AQ10"/>
    <mergeCell ref="AM13:AM17"/>
    <mergeCell ref="AO13:AO17"/>
    <mergeCell ref="AQ13:AQ17"/>
    <mergeCell ref="AP13:AP17"/>
    <mergeCell ref="Z4:AF4"/>
    <mergeCell ref="AJ3:AP3"/>
    <mergeCell ref="AK6:AP7"/>
    <mergeCell ref="AO22:AP22"/>
    <mergeCell ref="AN13:AN19"/>
    <mergeCell ref="AJ21:AK21"/>
    <mergeCell ref="AK9:AP10"/>
    <mergeCell ref="E3:F3"/>
    <mergeCell ref="AJ22:AK22"/>
    <mergeCell ref="E4:F4"/>
    <mergeCell ref="L7:M7"/>
    <mergeCell ref="L6:M6"/>
    <mergeCell ref="P6:Q6"/>
    <mergeCell ref="R8:S8"/>
    <mergeCell ref="R7:S7"/>
    <mergeCell ref="J6:K6"/>
    <mergeCell ref="J7:K7"/>
    <mergeCell ref="F6:G6"/>
    <mergeCell ref="F8:G8"/>
    <mergeCell ref="H8:I8"/>
    <mergeCell ref="J8:K8"/>
    <mergeCell ref="U4:W4"/>
    <mergeCell ref="AJ20:AK20"/>
    <mergeCell ref="AJ25:AK25"/>
    <mergeCell ref="AJ23:AK23"/>
    <mergeCell ref="AO24:AP24"/>
    <mergeCell ref="AO25:AP25"/>
    <mergeCell ref="AO23:AP23"/>
    <mergeCell ref="AL13:AL17"/>
    <mergeCell ref="AO20:AP20"/>
    <mergeCell ref="AO21:AP21"/>
    <mergeCell ref="V8:W8"/>
    <mergeCell ref="V9:W9"/>
  </mergeCells>
  <phoneticPr fontId="0" type="noConversion"/>
  <conditionalFormatting sqref="E33 V4:W4">
    <cfRule type="cellIs" dxfId="154" priority="1" stopIfTrue="1" operator="equal">
      <formula>"Totals Correct"</formula>
    </cfRule>
    <cfRule type="cellIs" dxfId="153" priority="2" stopIfTrue="1" operator="equal">
      <formula>"ERROR"</formula>
    </cfRule>
  </conditionalFormatting>
  <conditionalFormatting sqref="U4">
    <cfRule type="cellIs" dxfId="152" priority="3" stopIfTrue="1" operator="equal">
      <formula>"OK TO MOVE TO NEXT STAGE"</formula>
    </cfRule>
    <cfRule type="cellIs" dxfId="151" priority="4" stopIfTrue="1" operator="equal">
      <formula>"DO NOT MOVE TO NEXT STAGE"</formula>
    </cfRule>
  </conditionalFormatting>
  <hyperlinks>
    <hyperlink ref="O4" location="'Stage 3'!A1" display="MOVE TO STAGE 3"/>
    <hyperlink ref="O2" location="'Stage 3'!A1" display="MOVE TO STAGE 3"/>
    <hyperlink ref="O2:S2" location="'Verification of Boxes'!A9" display="BACK to FIRST PREFERENCE VOTES"/>
    <hyperlink ref="O4:S4" location="'Stage 2'!Y1:AR1" display="FORWARD TO STAGE 2"/>
  </hyperlinks>
  <pageMargins left="0.7" right="0.7" top="0.75" bottom="0.75" header="0.3" footer="0.3"/>
  <pageSetup paperSize="8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09.6328125" customWidth="1"/>
    <col min="25" max="25" width="4.0898437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7" max="37" width="10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54296875" customWidth="1"/>
    <col min="43" max="43" width="10" customWidth="1"/>
    <col min="44" max="44" width="15.08984375" customWidth="1"/>
    <col min="45" max="45" width="76.90625" customWidth="1"/>
    <col min="47" max="47" width="17.36328125" bestFit="1" customWidth="1"/>
    <col min="49" max="49" width="17.36328125" bestFit="1" customWidth="1"/>
    <col min="50" max="50" width="196.90625" customWidth="1"/>
    <col min="51" max="51" width="3.54296875" customWidth="1"/>
    <col min="52" max="52" width="49.90625" customWidth="1"/>
    <col min="53" max="53" width="14.36328125" customWidth="1"/>
    <col min="54" max="54" width="3.36328125" customWidth="1"/>
    <col min="55" max="55" width="9.453125" bestFit="1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199.08984375" customWidth="1"/>
    <col min="67" max="67" width="10.54296875" customWidth="1"/>
    <col min="68" max="68" width="7.90625" customWidth="1"/>
    <col min="69" max="69" width="1.6328125" customWidth="1"/>
    <col min="70" max="70" width="23.0898437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103</v>
      </c>
      <c r="J1" s="85" t="s">
        <v>37</v>
      </c>
      <c r="K1" s="319">
        <f>'Basic Input'!C2</f>
        <v>45064</v>
      </c>
      <c r="L1" s="319"/>
      <c r="Z1" s="10" t="s">
        <v>125</v>
      </c>
      <c r="AQ1" s="33"/>
      <c r="AY1" s="188"/>
      <c r="AZ1" s="199" t="s">
        <v>126</v>
      </c>
      <c r="BA1" s="188"/>
      <c r="BB1" s="188"/>
      <c r="BC1" s="188"/>
      <c r="BD1" s="188"/>
      <c r="BE1" s="200" t="str">
        <f>IF(AT5="T","COMPLETE THIS FORM","YOU HAVE NOT SELECTED TO COMPLETE THIS FORM")</f>
        <v>COMPLETE THIS FORM</v>
      </c>
      <c r="BF1" s="188"/>
      <c r="BG1" s="188"/>
      <c r="BH1" s="188"/>
      <c r="BI1" s="188"/>
      <c r="BJ1" s="188"/>
      <c r="BK1" s="188"/>
      <c r="BR1" s="10" t="s">
        <v>127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128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108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R2" s="36" t="s">
        <v>103</v>
      </c>
      <c r="CB2" s="320" t="s">
        <v>131</v>
      </c>
      <c r="CC2" s="321"/>
      <c r="CD2" s="321"/>
      <c r="CE2" s="322"/>
    </row>
    <row r="3" spans="1:105" ht="24.75" customHeight="1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23"/>
      <c r="P3" s="323"/>
      <c r="Q3" s="323"/>
      <c r="R3" s="323"/>
      <c r="S3" s="323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68</v>
      </c>
      <c r="AJ3" s="163"/>
      <c r="AK3" s="163"/>
      <c r="AL3" s="352" t="str">
        <f>IF(AQ5="n","MOVE TO EXCLUDE CANDIDATE FORM",IF(AQ5="y","MOVE TO TRANSFER OF SURPLUS VOTES FORM",0))</f>
        <v>MOVE TO TRANSFER OF SURPLUS VOTES FORM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R3" s="81" t="s">
        <v>133</v>
      </c>
      <c r="BS3" s="82"/>
      <c r="BT3" s="348"/>
      <c r="BU3" s="349"/>
      <c r="BV3" s="349"/>
      <c r="BW3" s="349"/>
      <c r="BX3" s="349"/>
      <c r="BY3" s="349"/>
      <c r="BZ3" s="350"/>
    </row>
    <row r="4" spans="1:105" ht="24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134</v>
      </c>
      <c r="P4" s="346"/>
      <c r="Q4" s="346"/>
      <c r="R4" s="346"/>
      <c r="S4" s="347"/>
      <c r="U4" s="311" t="str">
        <f>IF(G33="ERROR","DO NOT MOVE TO NEXT STAGE","OK TO MOVE TO NEXT STAGE")</f>
        <v>OK TO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1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 t="s">
        <v>144</v>
      </c>
      <c r="AT5" s="7" t="str">
        <f>IF(AQ5=0,0,IF(AQ5="Y","T","E"))</f>
        <v>T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 t="s">
        <v>144</v>
      </c>
      <c r="BI5" s="5" t="str">
        <f>IF(A11&lt;&gt;0,A11,0)</f>
        <v>Elected</v>
      </c>
      <c r="BJ5" s="5">
        <f>IF(C11=0,0,IF(E11=0,"Excluded",0))</f>
        <v>0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267" t="s">
        <v>150</v>
      </c>
      <c r="AA6" s="268"/>
      <c r="AB6" s="268"/>
      <c r="AC6" s="268"/>
      <c r="AD6" s="268"/>
      <c r="AE6" s="268"/>
      <c r="AF6" s="269"/>
      <c r="AG6" s="193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Transfer</v>
      </c>
      <c r="AR6" s="302"/>
      <c r="AS6" s="181"/>
      <c r="AT6" s="91"/>
      <c r="AU6" s="91"/>
      <c r="AW6" s="33"/>
      <c r="AX6" s="33"/>
      <c r="AZ6" s="36" t="s">
        <v>103</v>
      </c>
      <c r="BA6" s="245"/>
      <c r="BE6" s="61" t="str">
        <f>'Verification of Boxes'!J11</f>
        <v>FLYNN</v>
      </c>
      <c r="BF6" s="64">
        <v>7</v>
      </c>
      <c r="BG6" s="100">
        <f t="shared" si="0"/>
        <v>0.42</v>
      </c>
      <c r="BH6" s="150"/>
      <c r="BI6" s="5">
        <f t="shared" ref="BI6:BI24" si="1">IF(A12&lt;&gt;0,A12,0)</f>
        <v>0</v>
      </c>
      <c r="BJ6" s="5">
        <f t="shared" ref="BJ6:BJ24" si="2">IF(C12=0,0,IF(E12=0,"Excluded",0))</f>
        <v>0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09" t="str">
        <f>IF($AT5=0,0,IF($AT5="T",$AZ7,$BR4))</f>
        <v>Transfer</v>
      </c>
      <c r="G7" s="310"/>
      <c r="H7" s="309"/>
      <c r="I7" s="310"/>
      <c r="J7" s="309"/>
      <c r="K7" s="310"/>
      <c r="L7" s="309"/>
      <c r="M7" s="310"/>
      <c r="N7" s="309"/>
      <c r="O7" s="310"/>
      <c r="P7" s="309"/>
      <c r="Q7" s="310"/>
      <c r="R7" s="309"/>
      <c r="S7" s="310"/>
      <c r="T7" s="309"/>
      <c r="U7" s="310"/>
      <c r="V7" s="309"/>
      <c r="W7" s="310"/>
      <c r="Z7" s="270"/>
      <c r="AA7" s="271"/>
      <c r="AB7" s="271"/>
      <c r="AC7" s="271"/>
      <c r="AD7" s="271"/>
      <c r="AE7" s="271"/>
      <c r="AF7" s="272"/>
      <c r="AG7" s="193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>
        <v>7</v>
      </c>
      <c r="BG7" s="100">
        <f t="shared" si="0"/>
        <v>0.42</v>
      </c>
      <c r="BH7" s="150"/>
      <c r="BI7" s="5">
        <f t="shared" si="1"/>
        <v>0</v>
      </c>
      <c r="BJ7" s="5">
        <f t="shared" si="2"/>
        <v>0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03" t="str">
        <f>IF($F7="Transfer",$BA8,$BT3)</f>
        <v>EWING</v>
      </c>
      <c r="G8" s="304"/>
      <c r="H8" s="303"/>
      <c r="I8" s="304"/>
      <c r="J8" s="303"/>
      <c r="K8" s="304"/>
      <c r="L8" s="303"/>
      <c r="M8" s="304"/>
      <c r="N8" s="303"/>
      <c r="O8" s="304"/>
      <c r="P8" s="303"/>
      <c r="Q8" s="304"/>
      <c r="R8" s="303"/>
      <c r="S8" s="304"/>
      <c r="T8" s="303"/>
      <c r="U8" s="304"/>
      <c r="V8" s="303"/>
      <c r="W8" s="304"/>
      <c r="AA8" s="3"/>
      <c r="AI8" s="10"/>
      <c r="AJ8" s="10"/>
      <c r="AZ8" s="8" t="s">
        <v>160</v>
      </c>
      <c r="BA8" s="151" t="str">
        <f>IF(BE49&lt;&gt;0,BE49,IF(BE50&lt;&gt;0,BE50,IF(BE51&lt;&gt;0,BE51,IF(BE52&lt;&gt;0,BE52,0))))</f>
        <v>EWING</v>
      </c>
      <c r="BE8" s="61" t="str">
        <f>'Verification of Boxes'!J13</f>
        <v>GIVAN</v>
      </c>
      <c r="BF8" s="64">
        <v>860</v>
      </c>
      <c r="BG8" s="100">
        <f t="shared" si="0"/>
        <v>51.6</v>
      </c>
      <c r="BH8" s="150"/>
      <c r="BI8" s="5" t="str">
        <f t="shared" si="1"/>
        <v>Elected</v>
      </c>
      <c r="BJ8" s="5">
        <f t="shared" si="2"/>
        <v>0</v>
      </c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EWING</v>
      </c>
      <c r="BS8" s="64"/>
      <c r="BT8" s="5">
        <f t="shared" ref="BT8:BT27" si="4">BS8*BT$6</f>
        <v>0</v>
      </c>
      <c r="BU8" s="64"/>
      <c r="BV8" s="5">
        <f t="shared" ref="BV8:BV27" si="5">BU8*BV$6</f>
        <v>0</v>
      </c>
      <c r="BW8" s="64"/>
      <c r="BX8" s="5">
        <f t="shared" ref="BX8:BX27" si="6">BW8*BX$6</f>
        <v>0</v>
      </c>
      <c r="BY8" s="64"/>
      <c r="BZ8" s="5">
        <f t="shared" ref="BZ8:BZ27" si="7">BY8*BZ$6</f>
        <v>0</v>
      </c>
      <c r="CA8" s="64"/>
      <c r="CB8" s="5">
        <f t="shared" ref="CB8:CB27" si="8">CA8*CB$6</f>
        <v>0</v>
      </c>
      <c r="CC8" s="64"/>
      <c r="CD8" s="5">
        <f t="shared" ref="CD8:CD27" si="9">CC8*CD$6</f>
        <v>0</v>
      </c>
      <c r="CE8" s="5">
        <f t="shared" ref="CE8:CE16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288" t="s">
        <v>112</v>
      </c>
      <c r="W9" s="290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Transfer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>
        <f t="shared" ref="BN9:BN27" si="11">IF(A12&lt;&gt;0,A12,0)</f>
        <v>0</v>
      </c>
      <c r="BO9" s="7">
        <f t="shared" si="3"/>
        <v>493</v>
      </c>
      <c r="BP9" s="66"/>
      <c r="BR9" s="9" t="str">
        <f>'Verification of Boxes'!J11</f>
        <v>FLYNN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113</v>
      </c>
      <c r="B10" s="18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>
        <v>1139</v>
      </c>
      <c r="BE10" s="61" t="str">
        <f>'Verification of Boxes'!J15</f>
        <v>KENNEDY</v>
      </c>
      <c r="BF10" s="64">
        <v>4</v>
      </c>
      <c r="BG10" s="100">
        <f t="shared" si="0"/>
        <v>0.24</v>
      </c>
      <c r="BH10" s="150"/>
      <c r="BI10" s="5">
        <f t="shared" si="1"/>
        <v>0</v>
      </c>
      <c r="BJ10" s="5">
        <f t="shared" si="2"/>
        <v>0</v>
      </c>
      <c r="BM10" s="3"/>
      <c r="BN10" s="5">
        <f t="shared" si="11"/>
        <v>0</v>
      </c>
      <c r="BO10" s="7">
        <f t="shared" si="3"/>
        <v>472</v>
      </c>
      <c r="BP10" s="66"/>
      <c r="BR10" s="9" t="str">
        <f>'Verification of Boxes'!J12</f>
        <v>FRENCH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 t="shared" ref="A11:A30" si="12">IF(E11&gt;=$M$3,"Elected",IF(G11&gt;=$M$3,"Elected",IF(BP8&lt;&gt;0,"Excluded",0)))</f>
        <v>Elected</v>
      </c>
      <c r="B11" s="235">
        <f>'Overview Stage 1'!B11</f>
        <v>1</v>
      </c>
      <c r="C11" s="30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 t="shared" ref="F11:F30" si="13">IF(C11&lt;&gt;0,$BK49,0)</f>
        <v>-68</v>
      </c>
      <c r="G11" s="27">
        <f t="shared" ref="G11:G31" si="14">IF(F$8=0,0,E11+F11)</f>
        <v>1071</v>
      </c>
      <c r="H11" s="71"/>
      <c r="I11" s="27">
        <f t="shared" ref="I11:I31" si="15">IF(H$8=0,0,G11+H11)</f>
        <v>0</v>
      </c>
      <c r="J11" s="71"/>
      <c r="K11" s="27">
        <f t="shared" ref="K11:K31" si="16">IF(J$8=0,0,I11+J11)</f>
        <v>0</v>
      </c>
      <c r="L11" s="71"/>
      <c r="M11" s="27">
        <f t="shared" ref="M11:M31" si="17">IF(L$8=0,0,K11+L11)</f>
        <v>0</v>
      </c>
      <c r="N11" s="71"/>
      <c r="O11" s="27">
        <f t="shared" ref="O11:O31" si="18">IF(N$8=0,0,M11+N11)</f>
        <v>0</v>
      </c>
      <c r="P11" s="71"/>
      <c r="Q11" s="27">
        <f t="shared" ref="Q11:Q31" si="19">IF(P$8=0,0,O11+P11)</f>
        <v>0</v>
      </c>
      <c r="R11" s="71"/>
      <c r="S11" s="27">
        <f t="shared" ref="S11:S31" si="20">IF(R$8=0,0,Q11+R11)</f>
        <v>0</v>
      </c>
      <c r="T11" s="71"/>
      <c r="U11" s="27">
        <f t="shared" ref="U11:U31" si="21">IF(T$8=0,0,S11+T11)</f>
        <v>0</v>
      </c>
      <c r="V11" s="69"/>
      <c r="W11" s="39">
        <f t="shared" ref="W11:W31" si="22">IF(V$8=0,0,U11+V11)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>
        <v>24</v>
      </c>
      <c r="BG11" s="100">
        <f t="shared" si="0"/>
        <v>1.44</v>
      </c>
      <c r="BH11" s="150"/>
      <c r="BI11" s="5">
        <f t="shared" si="1"/>
        <v>0</v>
      </c>
      <c r="BJ11" s="5">
        <f t="shared" si="2"/>
        <v>0</v>
      </c>
      <c r="BM11" s="3"/>
      <c r="BN11" s="5" t="str">
        <f t="shared" si="11"/>
        <v>Elected</v>
      </c>
      <c r="BO11" s="7">
        <f t="shared" si="3"/>
        <v>1038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 t="shared" si="12"/>
        <v>0</v>
      </c>
      <c r="B12" s="235">
        <f>'Overview Stage 1'!B12</f>
        <v>0</v>
      </c>
      <c r="C12" s="31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 t="shared" si="13"/>
        <v>0.42</v>
      </c>
      <c r="G12" s="27">
        <f t="shared" si="14"/>
        <v>493.42</v>
      </c>
      <c r="H12" s="71"/>
      <c r="I12" s="27">
        <f t="shared" si="15"/>
        <v>0</v>
      </c>
      <c r="J12" s="71"/>
      <c r="K12" s="27">
        <f t="shared" si="16"/>
        <v>0</v>
      </c>
      <c r="L12" s="71"/>
      <c r="M12" s="27">
        <f t="shared" si="17"/>
        <v>0</v>
      </c>
      <c r="N12" s="71"/>
      <c r="O12" s="27">
        <f t="shared" si="18"/>
        <v>0</v>
      </c>
      <c r="P12" s="71"/>
      <c r="Q12" s="27">
        <f t="shared" si="19"/>
        <v>0</v>
      </c>
      <c r="R12" s="71"/>
      <c r="S12" s="27">
        <f t="shared" si="20"/>
        <v>0</v>
      </c>
      <c r="T12" s="71"/>
      <c r="U12" s="27">
        <f t="shared" si="21"/>
        <v>0</v>
      </c>
      <c r="V12" s="69"/>
      <c r="W12" s="39">
        <f t="shared" si="22"/>
        <v>0</v>
      </c>
      <c r="AJ12" s="38"/>
      <c r="AZ12" t="s">
        <v>166</v>
      </c>
      <c r="BA12" s="3" t="s">
        <v>167</v>
      </c>
      <c r="BB12" s="3"/>
      <c r="BC12" s="50">
        <f>AG3</f>
        <v>68</v>
      </c>
      <c r="BE12" s="61" t="str">
        <f>'Verification of Boxes'!J17</f>
        <v>MITCHELL</v>
      </c>
      <c r="BF12" s="64">
        <v>24</v>
      </c>
      <c r="BG12" s="100">
        <f t="shared" si="0"/>
        <v>1.44</v>
      </c>
      <c r="BH12" s="150"/>
      <c r="BI12" s="5">
        <f t="shared" si="1"/>
        <v>0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 t="shared" si="12"/>
        <v>0</v>
      </c>
      <c r="B13" s="235">
        <f>'Overview Stage 1'!B13</f>
        <v>0</v>
      </c>
      <c r="C13" s="31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 t="shared" si="13"/>
        <v>0.42</v>
      </c>
      <c r="G13" s="27">
        <f t="shared" si="14"/>
        <v>472.42</v>
      </c>
      <c r="H13" s="71"/>
      <c r="I13" s="27">
        <f t="shared" si="15"/>
        <v>0</v>
      </c>
      <c r="J13" s="71"/>
      <c r="K13" s="27">
        <f t="shared" si="16"/>
        <v>0</v>
      </c>
      <c r="L13" s="71"/>
      <c r="M13" s="27">
        <f t="shared" si="17"/>
        <v>0</v>
      </c>
      <c r="N13" s="71"/>
      <c r="O13" s="27">
        <f t="shared" si="18"/>
        <v>0</v>
      </c>
      <c r="P13" s="71"/>
      <c r="Q13" s="27">
        <f t="shared" si="19"/>
        <v>0</v>
      </c>
      <c r="R13" s="71"/>
      <c r="S13" s="27">
        <f t="shared" si="20"/>
        <v>0</v>
      </c>
      <c r="T13" s="71"/>
      <c r="U13" s="27">
        <f t="shared" si="21"/>
        <v>0</v>
      </c>
      <c r="V13" s="69"/>
      <c r="W13" s="39">
        <f t="shared" si="22"/>
        <v>0</v>
      </c>
      <c r="Z13" s="15" t="s">
        <v>115</v>
      </c>
      <c r="AA13" s="124" t="s">
        <v>168</v>
      </c>
      <c r="AB13" s="16"/>
      <c r="AC13" s="16" t="s">
        <v>169</v>
      </c>
      <c r="AD13" s="16"/>
      <c r="AE13" s="16" t="s">
        <v>170</v>
      </c>
      <c r="AF13" s="16" t="s">
        <v>171</v>
      </c>
      <c r="AG13" s="17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>
        <v>1139</v>
      </c>
      <c r="BE13" s="61" t="str">
        <f>'Verification of Boxes'!J18</f>
        <v>PALMER</v>
      </c>
      <c r="BF13" s="64">
        <v>57</v>
      </c>
      <c r="BG13" s="100">
        <f t="shared" si="0"/>
        <v>3.42</v>
      </c>
      <c r="BH13" s="150"/>
      <c r="BI13" s="5">
        <f t="shared" si="1"/>
        <v>0</v>
      </c>
      <c r="BJ13" s="5">
        <f t="shared" si="2"/>
        <v>0</v>
      </c>
      <c r="BM13" s="3"/>
      <c r="BN13" s="5">
        <f t="shared" si="11"/>
        <v>0</v>
      </c>
      <c r="BO13" s="7">
        <f t="shared" si="3"/>
        <v>674</v>
      </c>
      <c r="BP13" s="66"/>
      <c r="BR13" s="9" t="str">
        <f>'Verification of Boxes'!J15</f>
        <v>KENNEDY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 t="shared" si="12"/>
        <v>Elected</v>
      </c>
      <c r="B14" s="235">
        <f>'Overview Stage 1'!B14</f>
        <v>0</v>
      </c>
      <c r="C14" s="31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 t="shared" si="13"/>
        <v>51.6</v>
      </c>
      <c r="G14" s="27">
        <f t="shared" si="14"/>
        <v>1089.5999999999999</v>
      </c>
      <c r="H14" s="71"/>
      <c r="I14" s="27">
        <f t="shared" si="15"/>
        <v>0</v>
      </c>
      <c r="J14" s="71"/>
      <c r="K14" s="27">
        <f t="shared" si="16"/>
        <v>0</v>
      </c>
      <c r="L14" s="71"/>
      <c r="M14" s="27">
        <f t="shared" si="17"/>
        <v>0</v>
      </c>
      <c r="N14" s="71"/>
      <c r="O14" s="27">
        <f t="shared" si="18"/>
        <v>0</v>
      </c>
      <c r="P14" s="71"/>
      <c r="Q14" s="27">
        <f t="shared" si="19"/>
        <v>0</v>
      </c>
      <c r="R14" s="71"/>
      <c r="S14" s="27">
        <f t="shared" si="20"/>
        <v>0</v>
      </c>
      <c r="T14" s="71"/>
      <c r="U14" s="27">
        <f t="shared" si="21"/>
        <v>0</v>
      </c>
      <c r="V14" s="69"/>
      <c r="W14" s="39">
        <f t="shared" si="22"/>
        <v>0</v>
      </c>
      <c r="Z14" s="92" t="str">
        <f>'Verification of Boxes'!J10</f>
        <v>EWING</v>
      </c>
      <c r="AA14" s="93">
        <f t="shared" ref="AA14:AA33" si="23">E11</f>
        <v>1139</v>
      </c>
      <c r="AB14" s="88"/>
      <c r="AC14" s="99">
        <f t="shared" ref="AC14:AC33" si="24">IF(AA14&gt;0,AA14-AG$4,0)</f>
        <v>68</v>
      </c>
      <c r="AD14" s="59"/>
      <c r="AE14" s="88" t="str">
        <f>IF(Z14=0,0,IF(AA14&gt;=AG$4,"elected",IF(AA14=0,"excluded","continuing")))</f>
        <v>elected</v>
      </c>
      <c r="AF14" s="88">
        <f t="shared" ref="AF14:AF22" si="25">IF(AE14="elected",AC14,0)</f>
        <v>68</v>
      </c>
      <c r="AG14" s="94" t="str">
        <f>IF(AF14=0,0,(IF(AC14&gt;=0,"transfer largest surplus","progress to exclude")))</f>
        <v>transfer largest surplus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>
        <v>1</v>
      </c>
      <c r="BE14" s="61" t="str">
        <f>'Verification of Boxes'!J19</f>
        <v>PORTER</v>
      </c>
      <c r="BF14" s="64">
        <v>150</v>
      </c>
      <c r="BG14" s="100">
        <f t="shared" si="0"/>
        <v>9</v>
      </c>
      <c r="BH14" s="150"/>
      <c r="BI14" s="5">
        <f t="shared" si="1"/>
        <v>0</v>
      </c>
      <c r="BJ14" s="5">
        <f t="shared" si="2"/>
        <v>0</v>
      </c>
      <c r="BM14" s="3"/>
      <c r="BN14" s="5">
        <f t="shared" si="11"/>
        <v>0</v>
      </c>
      <c r="BO14" s="7">
        <f t="shared" si="3"/>
        <v>387</v>
      </c>
      <c r="BP14" s="66"/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 t="shared" si="12"/>
        <v>Elected</v>
      </c>
      <c r="B15" s="235">
        <f>'Overview Stage 1'!B15</f>
        <v>2</v>
      </c>
      <c r="C15" s="31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 t="shared" si="13"/>
        <v>0</v>
      </c>
      <c r="G15" s="27">
        <f t="shared" si="14"/>
        <v>1111</v>
      </c>
      <c r="H15" s="71"/>
      <c r="I15" s="27">
        <f t="shared" si="15"/>
        <v>0</v>
      </c>
      <c r="J15" s="71"/>
      <c r="K15" s="27">
        <f t="shared" si="16"/>
        <v>0</v>
      </c>
      <c r="L15" s="71"/>
      <c r="M15" s="27">
        <f t="shared" si="17"/>
        <v>0</v>
      </c>
      <c r="N15" s="71"/>
      <c r="O15" s="27">
        <f t="shared" si="18"/>
        <v>0</v>
      </c>
      <c r="P15" s="71"/>
      <c r="Q15" s="27">
        <f t="shared" si="19"/>
        <v>0</v>
      </c>
      <c r="R15" s="71"/>
      <c r="S15" s="27">
        <f t="shared" si="20"/>
        <v>0</v>
      </c>
      <c r="T15" s="71"/>
      <c r="U15" s="27">
        <f t="shared" si="21"/>
        <v>0</v>
      </c>
      <c r="V15" s="69"/>
      <c r="W15" s="39">
        <f t="shared" si="22"/>
        <v>0</v>
      </c>
      <c r="Z15" s="95" t="str">
        <f>'Verification of Boxes'!J11</f>
        <v>FLYNN</v>
      </c>
      <c r="AA15" s="37">
        <f t="shared" si="23"/>
        <v>493</v>
      </c>
      <c r="AB15" s="5"/>
      <c r="AC15" s="100">
        <f t="shared" si="24"/>
        <v>-578</v>
      </c>
      <c r="AD15" s="61"/>
      <c r="AE15" s="5" t="str">
        <f t="shared" ref="AE15:AE33" si="26">IF(Z15=0,0,IF(AA15&gt;=AG$4,"elected",IF(AA15=0,"excluded","continuing")))</f>
        <v>continuing</v>
      </c>
      <c r="AF15" s="5">
        <f t="shared" si="25"/>
        <v>0</v>
      </c>
      <c r="AG15" s="96">
        <f t="shared" ref="AG15:AG22" si="27">IF(AF15=0,0,(IF(AC15&gt;=0,"transfer largest surplus","progress to exclude")))</f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870</v>
      </c>
      <c r="BP15" s="66"/>
      <c r="BR15" s="9" t="str">
        <f>'Verification of Boxes'!J17</f>
        <v>MITCHELL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 t="shared" si="12"/>
        <v>0</v>
      </c>
      <c r="B16" s="235">
        <f>'Overview Stage 1'!B16</f>
        <v>0</v>
      </c>
      <c r="C16" s="31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 t="shared" si="13"/>
        <v>0.24</v>
      </c>
      <c r="G16" s="27">
        <f t="shared" si="14"/>
        <v>674.24</v>
      </c>
      <c r="H16" s="71"/>
      <c r="I16" s="27">
        <f t="shared" si="15"/>
        <v>0</v>
      </c>
      <c r="J16" s="71"/>
      <c r="K16" s="27">
        <f t="shared" si="16"/>
        <v>0</v>
      </c>
      <c r="L16" s="71"/>
      <c r="M16" s="27">
        <f t="shared" si="17"/>
        <v>0</v>
      </c>
      <c r="N16" s="71"/>
      <c r="O16" s="27">
        <f t="shared" si="18"/>
        <v>0</v>
      </c>
      <c r="P16" s="71"/>
      <c r="Q16" s="27">
        <f t="shared" si="19"/>
        <v>0</v>
      </c>
      <c r="R16" s="71"/>
      <c r="S16" s="27">
        <f t="shared" si="20"/>
        <v>0</v>
      </c>
      <c r="T16" s="71"/>
      <c r="U16" s="27">
        <f t="shared" si="21"/>
        <v>0</v>
      </c>
      <c r="V16" s="69"/>
      <c r="W16" s="39">
        <f t="shared" si="22"/>
        <v>0</v>
      </c>
      <c r="Z16" s="95" t="str">
        <f>'Verification of Boxes'!J12</f>
        <v>FRENCH</v>
      </c>
      <c r="AA16" s="37">
        <f t="shared" si="23"/>
        <v>472</v>
      </c>
      <c r="AB16" s="5"/>
      <c r="AC16" s="100">
        <f t="shared" si="24"/>
        <v>-599</v>
      </c>
      <c r="AD16" s="61"/>
      <c r="AE16" s="5" t="str">
        <f t="shared" si="26"/>
        <v>continuing</v>
      </c>
      <c r="AF16" s="5">
        <f t="shared" si="25"/>
        <v>0</v>
      </c>
      <c r="AG16" s="96">
        <f t="shared" si="27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625</v>
      </c>
      <c r="BP16" s="66"/>
      <c r="BR16" s="9" t="str">
        <f>'Verification of Boxes'!J18</f>
        <v>PALMER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>
        <f t="shared" si="12"/>
        <v>0</v>
      </c>
      <c r="B17" s="235">
        <f>'Overview Stage 1'!B17</f>
        <v>0</v>
      </c>
      <c r="C17" s="31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 t="shared" si="13"/>
        <v>1.44</v>
      </c>
      <c r="G17" s="27">
        <f t="shared" si="14"/>
        <v>388.44</v>
      </c>
      <c r="H17" s="71"/>
      <c r="I17" s="27">
        <f t="shared" si="15"/>
        <v>0</v>
      </c>
      <c r="J17" s="71"/>
      <c r="K17" s="27">
        <f t="shared" si="16"/>
        <v>0</v>
      </c>
      <c r="L17" s="71"/>
      <c r="M17" s="27">
        <f t="shared" si="17"/>
        <v>0</v>
      </c>
      <c r="N17" s="71"/>
      <c r="O17" s="27">
        <f t="shared" si="18"/>
        <v>0</v>
      </c>
      <c r="P17" s="71"/>
      <c r="Q17" s="27">
        <f t="shared" si="19"/>
        <v>0</v>
      </c>
      <c r="R17" s="71"/>
      <c r="S17" s="27">
        <f t="shared" si="20"/>
        <v>0</v>
      </c>
      <c r="T17" s="71"/>
      <c r="U17" s="27">
        <f t="shared" si="21"/>
        <v>0</v>
      </c>
      <c r="V17" s="69"/>
      <c r="W17" s="39">
        <f t="shared" si="22"/>
        <v>0</v>
      </c>
      <c r="Z17" s="95" t="str">
        <f>'Verification of Boxes'!J13</f>
        <v>GIVAN</v>
      </c>
      <c r="AA17" s="37">
        <f t="shared" si="23"/>
        <v>1038</v>
      </c>
      <c r="AB17" s="5"/>
      <c r="AC17" s="100">
        <f t="shared" si="24"/>
        <v>-33</v>
      </c>
      <c r="AD17" s="61"/>
      <c r="AE17" s="5" t="str">
        <f t="shared" si="26"/>
        <v>continuing</v>
      </c>
      <c r="AF17" s="5">
        <f t="shared" si="25"/>
        <v>0</v>
      </c>
      <c r="AG17" s="96">
        <f t="shared" si="27"/>
        <v>0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687</v>
      </c>
      <c r="BP17" s="66"/>
      <c r="BR17" s="9" t="str">
        <f>'Verification of Boxes'!J19</f>
        <v>PORTER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ref="CE17:CE27" si="28">BT17+BV17+BX17+BZ17+CB17+CD17</f>
        <v>0</v>
      </c>
    </row>
    <row r="18" spans="1:83" ht="15" customHeight="1" thickBot="1" x14ac:dyDescent="0.3">
      <c r="A18" s="20">
        <f t="shared" si="12"/>
        <v>0</v>
      </c>
      <c r="B18" s="235">
        <f>'Overview Stage 1'!B18</f>
        <v>0</v>
      </c>
      <c r="C18" s="31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 t="shared" si="13"/>
        <v>1.44</v>
      </c>
      <c r="G18" s="27">
        <f t="shared" si="14"/>
        <v>871.44</v>
      </c>
      <c r="H18" s="71"/>
      <c r="I18" s="27">
        <f t="shared" si="15"/>
        <v>0</v>
      </c>
      <c r="J18" s="71"/>
      <c r="K18" s="27">
        <f t="shared" si="16"/>
        <v>0</v>
      </c>
      <c r="L18" s="71"/>
      <c r="M18" s="27">
        <f t="shared" si="17"/>
        <v>0</v>
      </c>
      <c r="N18" s="71"/>
      <c r="O18" s="27">
        <f t="shared" si="18"/>
        <v>0</v>
      </c>
      <c r="P18" s="71"/>
      <c r="Q18" s="27">
        <f t="shared" si="19"/>
        <v>0</v>
      </c>
      <c r="R18" s="71"/>
      <c r="S18" s="27">
        <f t="shared" si="20"/>
        <v>0</v>
      </c>
      <c r="T18" s="71"/>
      <c r="U18" s="27">
        <f t="shared" si="21"/>
        <v>0</v>
      </c>
      <c r="V18" s="69"/>
      <c r="W18" s="39">
        <f t="shared" si="22"/>
        <v>0</v>
      </c>
      <c r="Z18" s="95" t="str">
        <f>'Verification of Boxes'!J14</f>
        <v>GREHAN</v>
      </c>
      <c r="AA18" s="37">
        <f t="shared" si="23"/>
        <v>1111</v>
      </c>
      <c r="AB18" s="5"/>
      <c r="AC18" s="100">
        <f t="shared" si="24"/>
        <v>40</v>
      </c>
      <c r="AD18" s="61"/>
      <c r="AE18" s="5" t="str">
        <f t="shared" si="26"/>
        <v>elected</v>
      </c>
      <c r="AF18" s="5">
        <f t="shared" si="25"/>
        <v>40</v>
      </c>
      <c r="AG18" s="96" t="str">
        <f t="shared" si="27"/>
        <v>transfer largest surplus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1133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28"/>
        <v>0</v>
      </c>
    </row>
    <row r="19" spans="1:83" ht="15" customHeight="1" thickBot="1" x14ac:dyDescent="0.3">
      <c r="A19" s="20">
        <f t="shared" si="12"/>
        <v>0</v>
      </c>
      <c r="B19" s="235">
        <f>'Overview Stage 1'!B19</f>
        <v>0</v>
      </c>
      <c r="C19" s="31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 t="shared" si="13"/>
        <v>3.42</v>
      </c>
      <c r="G19" s="27">
        <f t="shared" si="14"/>
        <v>628.41999999999996</v>
      </c>
      <c r="H19" s="71"/>
      <c r="I19" s="27">
        <f t="shared" si="15"/>
        <v>0</v>
      </c>
      <c r="J19" s="71"/>
      <c r="K19" s="27">
        <f t="shared" si="16"/>
        <v>0</v>
      </c>
      <c r="L19" s="71"/>
      <c r="M19" s="27">
        <f t="shared" si="17"/>
        <v>0</v>
      </c>
      <c r="N19" s="71"/>
      <c r="O19" s="27">
        <f t="shared" si="18"/>
        <v>0</v>
      </c>
      <c r="P19" s="71"/>
      <c r="Q19" s="27">
        <f t="shared" si="19"/>
        <v>0</v>
      </c>
      <c r="R19" s="71"/>
      <c r="S19" s="27">
        <f t="shared" si="20"/>
        <v>0</v>
      </c>
      <c r="T19" s="71"/>
      <c r="U19" s="27">
        <f t="shared" si="21"/>
        <v>0</v>
      </c>
      <c r="V19" s="69"/>
      <c r="W19" s="39">
        <f t="shared" si="22"/>
        <v>0</v>
      </c>
      <c r="Z19" s="95" t="str">
        <f>'Verification of Boxes'!J15</f>
        <v>KENNEDY</v>
      </c>
      <c r="AA19" s="37">
        <f t="shared" si="23"/>
        <v>674</v>
      </c>
      <c r="AB19" s="5"/>
      <c r="AC19" s="100">
        <f t="shared" si="24"/>
        <v>-397</v>
      </c>
      <c r="AD19" s="61"/>
      <c r="AE19" s="5" t="str">
        <f t="shared" si="26"/>
        <v>continuing</v>
      </c>
      <c r="AF19" s="5">
        <f t="shared" si="25"/>
        <v>0</v>
      </c>
      <c r="AG19" s="96">
        <f t="shared" si="27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1133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28"/>
        <v>0</v>
      </c>
    </row>
    <row r="20" spans="1:83" ht="15" customHeight="1" thickBot="1" x14ac:dyDescent="0.3">
      <c r="A20" s="20">
        <f t="shared" si="12"/>
        <v>0</v>
      </c>
      <c r="B20" s="235">
        <f>'Overview Stage 1'!B20</f>
        <v>0</v>
      </c>
      <c r="C20" s="31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 t="shared" si="13"/>
        <v>9</v>
      </c>
      <c r="G20" s="27">
        <f t="shared" si="14"/>
        <v>696</v>
      </c>
      <c r="H20" s="71"/>
      <c r="I20" s="27">
        <f t="shared" si="15"/>
        <v>0</v>
      </c>
      <c r="J20" s="71"/>
      <c r="K20" s="27">
        <f t="shared" si="16"/>
        <v>0</v>
      </c>
      <c r="L20" s="71"/>
      <c r="M20" s="27">
        <f t="shared" si="17"/>
        <v>0</v>
      </c>
      <c r="N20" s="71"/>
      <c r="O20" s="27">
        <f t="shared" si="18"/>
        <v>0</v>
      </c>
      <c r="P20" s="71"/>
      <c r="Q20" s="27">
        <f t="shared" si="19"/>
        <v>0</v>
      </c>
      <c r="R20" s="71"/>
      <c r="S20" s="27">
        <f t="shared" si="20"/>
        <v>0</v>
      </c>
      <c r="T20" s="71"/>
      <c r="U20" s="27">
        <f t="shared" si="21"/>
        <v>0</v>
      </c>
      <c r="V20" s="69"/>
      <c r="W20" s="39">
        <f t="shared" si="22"/>
        <v>0</v>
      </c>
      <c r="Z20" s="95" t="str">
        <f>'Verification of Boxes'!J16</f>
        <v>MCEVOY</v>
      </c>
      <c r="AA20" s="37">
        <f t="shared" si="23"/>
        <v>387</v>
      </c>
      <c r="AB20" s="5"/>
      <c r="AC20" s="100">
        <f t="shared" si="24"/>
        <v>-684</v>
      </c>
      <c r="AD20" s="61"/>
      <c r="AE20" s="5" t="str">
        <f t="shared" si="26"/>
        <v>continuing</v>
      </c>
      <c r="AF20" s="5">
        <f t="shared" si="25"/>
        <v>0</v>
      </c>
      <c r="AG20" s="96">
        <f t="shared" si="27"/>
        <v>0</v>
      </c>
      <c r="AJ20" s="339" t="s">
        <v>184</v>
      </c>
      <c r="AK20" s="340"/>
      <c r="AL20" s="142">
        <f>AL46</f>
        <v>387</v>
      </c>
      <c r="AM20" s="118"/>
      <c r="AN20" s="142">
        <f>AL20+AG2</f>
        <v>495</v>
      </c>
      <c r="AO20" s="334">
        <f>IF(AN20&gt;AG4,0,IF(AN20&lt;AL21,"Exclude lowest candidate",0))</f>
        <v>0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28"/>
        <v>0</v>
      </c>
    </row>
    <row r="21" spans="1:83" ht="15" customHeight="1" thickBot="1" x14ac:dyDescent="0.3">
      <c r="A21" s="20">
        <f t="shared" si="12"/>
        <v>0</v>
      </c>
      <c r="B21" s="235">
        <f>'Overview Stage 1'!B21</f>
        <v>0</v>
      </c>
      <c r="C21" s="31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 t="shared" si="13"/>
        <v>0</v>
      </c>
      <c r="G21" s="27">
        <f t="shared" si="14"/>
        <v>0</v>
      </c>
      <c r="H21" s="71"/>
      <c r="I21" s="27">
        <f t="shared" si="15"/>
        <v>0</v>
      </c>
      <c r="J21" s="71"/>
      <c r="K21" s="27">
        <f t="shared" si="16"/>
        <v>0</v>
      </c>
      <c r="L21" s="71"/>
      <c r="M21" s="27">
        <f t="shared" si="17"/>
        <v>0</v>
      </c>
      <c r="N21" s="71"/>
      <c r="O21" s="27">
        <f t="shared" si="18"/>
        <v>0</v>
      </c>
      <c r="P21" s="71"/>
      <c r="Q21" s="27">
        <f t="shared" si="19"/>
        <v>0</v>
      </c>
      <c r="R21" s="71"/>
      <c r="S21" s="27">
        <f t="shared" si="20"/>
        <v>0</v>
      </c>
      <c r="T21" s="71"/>
      <c r="U21" s="27">
        <f t="shared" si="21"/>
        <v>0</v>
      </c>
      <c r="V21" s="69"/>
      <c r="W21" s="39">
        <f t="shared" si="22"/>
        <v>0</v>
      </c>
      <c r="Z21" s="95" t="str">
        <f>'Verification of Boxes'!J17</f>
        <v>MITCHELL</v>
      </c>
      <c r="AA21" s="37">
        <f t="shared" si="23"/>
        <v>870</v>
      </c>
      <c r="AB21" s="5"/>
      <c r="AC21" s="100">
        <f t="shared" si="24"/>
        <v>-201</v>
      </c>
      <c r="AD21" s="61"/>
      <c r="AE21" s="5" t="str">
        <f t="shared" si="26"/>
        <v>continuing</v>
      </c>
      <c r="AF21" s="5">
        <f t="shared" si="25"/>
        <v>0</v>
      </c>
      <c r="AG21" s="96">
        <f t="shared" si="27"/>
        <v>0</v>
      </c>
      <c r="AJ21" s="341" t="s">
        <v>185</v>
      </c>
      <c r="AK21" s="293"/>
      <c r="AL21" s="37">
        <f>IF(AL20=1000000,0,AN46)</f>
        <v>472</v>
      </c>
      <c r="AM21" s="5">
        <f>AL21-AL20</f>
        <v>85</v>
      </c>
      <c r="AN21" s="5">
        <f>IF(AL21=1000000,0,IF(AN20=0,0,AN20+AL21))</f>
        <v>967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28"/>
        <v>0</v>
      </c>
    </row>
    <row r="22" spans="1:83" ht="15" customHeight="1" thickBot="1" x14ac:dyDescent="0.3">
      <c r="A22" s="20">
        <f t="shared" si="12"/>
        <v>0</v>
      </c>
      <c r="B22" s="235">
        <f>'Overview Stage 1'!B22</f>
        <v>0</v>
      </c>
      <c r="C22" s="31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 t="shared" si="13"/>
        <v>0</v>
      </c>
      <c r="G22" s="27">
        <f t="shared" si="14"/>
        <v>0</v>
      </c>
      <c r="H22" s="71"/>
      <c r="I22" s="27">
        <f t="shared" si="15"/>
        <v>0</v>
      </c>
      <c r="J22" s="71"/>
      <c r="K22" s="27">
        <f t="shared" si="16"/>
        <v>0</v>
      </c>
      <c r="L22" s="71"/>
      <c r="M22" s="27">
        <f t="shared" si="17"/>
        <v>0</v>
      </c>
      <c r="N22" s="71"/>
      <c r="O22" s="27">
        <f t="shared" si="18"/>
        <v>0</v>
      </c>
      <c r="P22" s="71"/>
      <c r="Q22" s="27">
        <f t="shared" si="19"/>
        <v>0</v>
      </c>
      <c r="R22" s="71"/>
      <c r="S22" s="27">
        <f t="shared" si="20"/>
        <v>0</v>
      </c>
      <c r="T22" s="71"/>
      <c r="U22" s="27">
        <f t="shared" si="21"/>
        <v>0</v>
      </c>
      <c r="V22" s="69"/>
      <c r="W22" s="39">
        <f t="shared" si="22"/>
        <v>0</v>
      </c>
      <c r="Z22" s="95" t="str">
        <f>'Verification of Boxes'!J18</f>
        <v>PALMER</v>
      </c>
      <c r="AA22" s="37">
        <f t="shared" si="23"/>
        <v>625</v>
      </c>
      <c r="AB22" s="5"/>
      <c r="AC22" s="100">
        <f t="shared" si="24"/>
        <v>-446</v>
      </c>
      <c r="AD22" s="61"/>
      <c r="AE22" s="5" t="str">
        <f t="shared" si="26"/>
        <v>continuing</v>
      </c>
      <c r="AF22" s="5">
        <f t="shared" si="25"/>
        <v>0</v>
      </c>
      <c r="AG22" s="96">
        <f t="shared" si="27"/>
        <v>0</v>
      </c>
      <c r="AJ22" s="341" t="s">
        <v>185</v>
      </c>
      <c r="AK22" s="293"/>
      <c r="AL22" s="37">
        <f>IF(AL21=1000000,0,AP46)</f>
        <v>493</v>
      </c>
      <c r="AM22" s="5">
        <f>IF(AL22=1000000,0,IF(AM21=0,0,AL22-AL21))</f>
        <v>21</v>
      </c>
      <c r="AN22" s="5">
        <f>IF(AL22=1000000,0,IF(AN21=0,0,AN21+AL22))</f>
        <v>1460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28"/>
        <v>0</v>
      </c>
    </row>
    <row r="23" spans="1:83" ht="15" customHeight="1" thickBot="1" x14ac:dyDescent="0.35">
      <c r="A23" s="20">
        <f t="shared" si="12"/>
        <v>0</v>
      </c>
      <c r="B23" s="235">
        <f>'Overview Stage 1'!B23</f>
        <v>0</v>
      </c>
      <c r="C23" s="31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 t="shared" si="13"/>
        <v>0</v>
      </c>
      <c r="G23" s="27">
        <f t="shared" si="14"/>
        <v>0</v>
      </c>
      <c r="H23" s="71"/>
      <c r="I23" s="27">
        <f t="shared" si="15"/>
        <v>0</v>
      </c>
      <c r="J23" s="71"/>
      <c r="K23" s="27">
        <f t="shared" si="16"/>
        <v>0</v>
      </c>
      <c r="L23" s="71"/>
      <c r="M23" s="27">
        <f t="shared" si="17"/>
        <v>0</v>
      </c>
      <c r="N23" s="71"/>
      <c r="O23" s="27">
        <f t="shared" si="18"/>
        <v>0</v>
      </c>
      <c r="P23" s="71"/>
      <c r="Q23" s="27">
        <f t="shared" si="19"/>
        <v>0</v>
      </c>
      <c r="R23" s="71"/>
      <c r="S23" s="27">
        <f t="shared" si="20"/>
        <v>0</v>
      </c>
      <c r="T23" s="71"/>
      <c r="U23" s="27">
        <f t="shared" si="21"/>
        <v>0</v>
      </c>
      <c r="V23" s="69"/>
      <c r="W23" s="39">
        <f t="shared" si="22"/>
        <v>0</v>
      </c>
      <c r="Z23" s="95" t="str">
        <f>'Verification of Boxes'!J19</f>
        <v>PORTER</v>
      </c>
      <c r="AA23" s="37">
        <f t="shared" si="23"/>
        <v>687</v>
      </c>
      <c r="AB23" s="5"/>
      <c r="AC23" s="100">
        <f t="shared" si="24"/>
        <v>-384</v>
      </c>
      <c r="AD23" s="61"/>
      <c r="AE23" s="5" t="str">
        <f t="shared" si="26"/>
        <v>continuing</v>
      </c>
      <c r="AF23" s="5">
        <f t="shared" ref="AF23:AF33" si="29">IF(AE23="elected",AC23,0)</f>
        <v>0</v>
      </c>
      <c r="AG23" s="96">
        <f t="shared" ref="AG23:AG33" si="30">IF(AF23=0,0,(IF(AC23&gt;=0,"transfer largest surplus","progress to exclude")))</f>
        <v>0</v>
      </c>
      <c r="AJ23" s="341" t="s">
        <v>185</v>
      </c>
      <c r="AK23" s="293"/>
      <c r="AL23" s="37">
        <f>IF(AL22=1000000,0,AR46)</f>
        <v>625</v>
      </c>
      <c r="AM23" s="5">
        <f>IF(AL23=1000000,0,IF(AM22=0,0,AL23-AL22))</f>
        <v>132</v>
      </c>
      <c r="AN23" s="5">
        <f>IF(AL23=1000000,0,IF(AN22=0,0,AN22+AL23))</f>
        <v>2085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0.06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28"/>
        <v>0</v>
      </c>
    </row>
    <row r="24" spans="1:83" ht="15" customHeight="1" thickBot="1" x14ac:dyDescent="0.3">
      <c r="A24" s="20">
        <f t="shared" si="12"/>
        <v>0</v>
      </c>
      <c r="B24" s="235">
        <f>'Overview Stage 1'!B24</f>
        <v>0</v>
      </c>
      <c r="C24" s="31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 t="shared" si="13"/>
        <v>0</v>
      </c>
      <c r="G24" s="27">
        <f t="shared" si="14"/>
        <v>0</v>
      </c>
      <c r="H24" s="71"/>
      <c r="I24" s="27">
        <f t="shared" si="15"/>
        <v>0</v>
      </c>
      <c r="J24" s="71"/>
      <c r="K24" s="27">
        <f t="shared" si="16"/>
        <v>0</v>
      </c>
      <c r="L24" s="71"/>
      <c r="M24" s="27">
        <f t="shared" si="17"/>
        <v>0</v>
      </c>
      <c r="N24" s="71"/>
      <c r="O24" s="27">
        <f t="shared" si="18"/>
        <v>0</v>
      </c>
      <c r="P24" s="71"/>
      <c r="Q24" s="27">
        <f t="shared" si="19"/>
        <v>0</v>
      </c>
      <c r="R24" s="71"/>
      <c r="S24" s="27">
        <f t="shared" si="20"/>
        <v>0</v>
      </c>
      <c r="T24" s="71"/>
      <c r="U24" s="27">
        <f t="shared" si="21"/>
        <v>0</v>
      </c>
      <c r="V24" s="69"/>
      <c r="W24" s="39">
        <f t="shared" si="22"/>
        <v>0</v>
      </c>
      <c r="Z24" s="95">
        <f>'Verification of Boxes'!J20</f>
        <v>0</v>
      </c>
      <c r="AA24" s="37">
        <f t="shared" si="23"/>
        <v>0</v>
      </c>
      <c r="AB24" s="5"/>
      <c r="AC24" s="100">
        <f t="shared" si="24"/>
        <v>0</v>
      </c>
      <c r="AD24" s="61"/>
      <c r="AE24" s="5">
        <f t="shared" si="26"/>
        <v>0</v>
      </c>
      <c r="AF24" s="5">
        <f t="shared" si="29"/>
        <v>0</v>
      </c>
      <c r="AG24" s="96">
        <f t="shared" si="30"/>
        <v>0</v>
      </c>
      <c r="AJ24" s="341" t="s">
        <v>185</v>
      </c>
      <c r="AK24" s="293"/>
      <c r="AL24" s="37">
        <f>IF(AR46=1000000,0,AU46)</f>
        <v>674</v>
      </c>
      <c r="AM24" s="5">
        <f>IF(AL24=1000000,0,IF(AM23=0,0,AL24-AL23))</f>
        <v>49</v>
      </c>
      <c r="AN24" s="5">
        <f>IF(AL24=1000000,0,IF(AN23=0,0,AN23+AL24))</f>
        <v>2759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189</v>
      </c>
      <c r="BA24" s="3" t="s">
        <v>190</v>
      </c>
      <c r="BB24" s="3"/>
      <c r="BC24" s="50">
        <f>IF(BC19&gt;BC12,BC18*BC23,0)</f>
        <v>67.98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28"/>
        <v>0</v>
      </c>
    </row>
    <row r="25" spans="1:83" ht="15" customHeight="1" thickBot="1" x14ac:dyDescent="0.3">
      <c r="A25" s="20">
        <f t="shared" si="12"/>
        <v>0</v>
      </c>
      <c r="B25" s="235">
        <f>'Overview Stage 1'!B25</f>
        <v>0</v>
      </c>
      <c r="C25" s="31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 t="shared" si="13"/>
        <v>0</v>
      </c>
      <c r="G25" s="27">
        <f t="shared" si="14"/>
        <v>0</v>
      </c>
      <c r="H25" s="71"/>
      <c r="I25" s="27">
        <f t="shared" si="15"/>
        <v>0</v>
      </c>
      <c r="J25" s="71"/>
      <c r="K25" s="27">
        <f t="shared" si="16"/>
        <v>0</v>
      </c>
      <c r="L25" s="71"/>
      <c r="M25" s="27">
        <f t="shared" si="17"/>
        <v>0</v>
      </c>
      <c r="N25" s="71"/>
      <c r="O25" s="27">
        <f t="shared" si="18"/>
        <v>0</v>
      </c>
      <c r="P25" s="71"/>
      <c r="Q25" s="27">
        <f t="shared" si="19"/>
        <v>0</v>
      </c>
      <c r="R25" s="71"/>
      <c r="S25" s="27">
        <f t="shared" si="20"/>
        <v>0</v>
      </c>
      <c r="T25" s="71"/>
      <c r="U25" s="27">
        <f t="shared" si="21"/>
        <v>0</v>
      </c>
      <c r="V25" s="69"/>
      <c r="W25" s="39">
        <f t="shared" si="22"/>
        <v>0</v>
      </c>
      <c r="Z25" s="95">
        <f>'Verification of Boxes'!J21</f>
        <v>0</v>
      </c>
      <c r="AA25" s="37">
        <f t="shared" si="23"/>
        <v>0</v>
      </c>
      <c r="AB25" s="5"/>
      <c r="AC25" s="100">
        <f t="shared" si="24"/>
        <v>0</v>
      </c>
      <c r="AD25" s="61"/>
      <c r="AE25" s="5">
        <f t="shared" si="26"/>
        <v>0</v>
      </c>
      <c r="AF25" s="5">
        <f t="shared" si="29"/>
        <v>0</v>
      </c>
      <c r="AG25" s="96">
        <f t="shared" si="30"/>
        <v>0</v>
      </c>
      <c r="AJ25" s="355" t="s">
        <v>185</v>
      </c>
      <c r="AK25" s="356"/>
      <c r="AL25" s="89">
        <f>IF(AL24=1000000,0,AW46)</f>
        <v>687</v>
      </c>
      <c r="AM25" s="90">
        <f>IF(AL25=1000000,0,IF(AM24=0,0,AL25-AL24))</f>
        <v>13</v>
      </c>
      <c r="AN25" s="90">
        <f>IF(AL25=1000000,0,IF(AN24=0,0,AN24+AL25))</f>
        <v>3446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1.9999999999996021E-2</v>
      </c>
      <c r="BE25" s="61" t="s">
        <v>193</v>
      </c>
      <c r="BF25" s="5">
        <f>SUM(BF5:BF24)</f>
        <v>1133</v>
      </c>
      <c r="BG25" s="100">
        <f>SUM(BG5:BG24)</f>
        <v>67.98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28"/>
        <v>0</v>
      </c>
    </row>
    <row r="26" spans="1:83" ht="15" customHeight="1" thickBot="1" x14ac:dyDescent="0.3">
      <c r="A26" s="20">
        <f t="shared" si="12"/>
        <v>0</v>
      </c>
      <c r="B26" s="235">
        <f>'Overview Stage 1'!B26</f>
        <v>0</v>
      </c>
      <c r="C26" s="31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 t="shared" si="13"/>
        <v>0</v>
      </c>
      <c r="G26" s="27">
        <f t="shared" si="14"/>
        <v>0</v>
      </c>
      <c r="H26" s="71"/>
      <c r="I26" s="27">
        <f t="shared" si="15"/>
        <v>0</v>
      </c>
      <c r="J26" s="71"/>
      <c r="K26" s="27">
        <f t="shared" si="16"/>
        <v>0</v>
      </c>
      <c r="L26" s="71"/>
      <c r="M26" s="27">
        <f t="shared" si="17"/>
        <v>0</v>
      </c>
      <c r="N26" s="71"/>
      <c r="O26" s="27">
        <f t="shared" si="18"/>
        <v>0</v>
      </c>
      <c r="P26" s="71"/>
      <c r="Q26" s="27">
        <f t="shared" si="19"/>
        <v>0</v>
      </c>
      <c r="R26" s="71"/>
      <c r="S26" s="27">
        <f t="shared" si="20"/>
        <v>0</v>
      </c>
      <c r="T26" s="71"/>
      <c r="U26" s="27">
        <f t="shared" si="21"/>
        <v>0</v>
      </c>
      <c r="V26" s="69"/>
      <c r="W26" s="39">
        <f t="shared" si="22"/>
        <v>0</v>
      </c>
      <c r="Z26" s="95">
        <f>'Verification of Boxes'!J22</f>
        <v>0</v>
      </c>
      <c r="AA26" s="37">
        <f t="shared" si="23"/>
        <v>0</v>
      </c>
      <c r="AB26" s="5"/>
      <c r="AC26" s="100">
        <f t="shared" si="24"/>
        <v>0</v>
      </c>
      <c r="AD26" s="61"/>
      <c r="AE26" s="5">
        <f t="shared" si="26"/>
        <v>0</v>
      </c>
      <c r="AF26" s="5">
        <f t="shared" si="29"/>
        <v>0</v>
      </c>
      <c r="AG26" s="96">
        <f t="shared" si="30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194</v>
      </c>
      <c r="BF26" s="64">
        <v>6</v>
      </c>
      <c r="BG26" s="100">
        <f>IF(AT5="T",BC25+BC31,0)</f>
        <v>1.9999999999996021E-2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28"/>
        <v>0</v>
      </c>
    </row>
    <row r="27" spans="1:83" ht="13" thickBot="1" x14ac:dyDescent="0.3">
      <c r="A27" s="20">
        <f t="shared" si="12"/>
        <v>0</v>
      </c>
      <c r="B27" s="235">
        <f>'Overview Stage 1'!B27</f>
        <v>0</v>
      </c>
      <c r="C27" s="31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 t="shared" si="13"/>
        <v>0</v>
      </c>
      <c r="G27" s="27">
        <f t="shared" si="14"/>
        <v>0</v>
      </c>
      <c r="H27" s="71"/>
      <c r="I27" s="27">
        <f t="shared" si="15"/>
        <v>0</v>
      </c>
      <c r="J27" s="71"/>
      <c r="K27" s="27">
        <f t="shared" si="16"/>
        <v>0</v>
      </c>
      <c r="L27" s="71"/>
      <c r="M27" s="27">
        <f t="shared" si="17"/>
        <v>0</v>
      </c>
      <c r="N27" s="71"/>
      <c r="O27" s="27">
        <f t="shared" si="18"/>
        <v>0</v>
      </c>
      <c r="P27" s="71"/>
      <c r="Q27" s="27">
        <f t="shared" si="19"/>
        <v>0</v>
      </c>
      <c r="R27" s="71"/>
      <c r="S27" s="27">
        <f t="shared" si="20"/>
        <v>0</v>
      </c>
      <c r="T27" s="71"/>
      <c r="U27" s="27">
        <f t="shared" si="21"/>
        <v>0</v>
      </c>
      <c r="V27" s="69"/>
      <c r="W27" s="39">
        <f t="shared" si="22"/>
        <v>0</v>
      </c>
      <c r="Z27" s="95">
        <f>'Verification of Boxes'!J23</f>
        <v>0</v>
      </c>
      <c r="AA27" s="37">
        <f t="shared" si="23"/>
        <v>0</v>
      </c>
      <c r="AB27" s="5"/>
      <c r="AC27" s="100">
        <f t="shared" si="24"/>
        <v>0</v>
      </c>
      <c r="AD27" s="61"/>
      <c r="AE27" s="5">
        <f t="shared" si="26"/>
        <v>0</v>
      </c>
      <c r="AF27" s="5">
        <f t="shared" si="29"/>
        <v>0</v>
      </c>
      <c r="AG27" s="96">
        <f t="shared" si="30"/>
        <v>0</v>
      </c>
      <c r="AJ27" s="98"/>
      <c r="AK27" s="98"/>
      <c r="AT27" s="5">
        <f>AW27</f>
        <v>0</v>
      </c>
      <c r="AU27" s="5">
        <f t="shared" ref="AU27:AU32" si="31">IF(AO20&lt;&gt;0,1,0)</f>
        <v>0</v>
      </c>
      <c r="AV27" s="5">
        <f>AU27</f>
        <v>0</v>
      </c>
      <c r="AW27" s="5">
        <f t="shared" ref="AW27:AW32" si="32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1139</v>
      </c>
      <c r="BG27" s="101">
        <f>SUM(BG25:BG26)</f>
        <v>68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28"/>
        <v>0</v>
      </c>
    </row>
    <row r="28" spans="1:83" ht="14.25" customHeight="1" thickBot="1" x14ac:dyDescent="0.3">
      <c r="A28" s="20">
        <f t="shared" si="12"/>
        <v>0</v>
      </c>
      <c r="B28" s="235">
        <f>'Overview Stage 1'!B28</f>
        <v>0</v>
      </c>
      <c r="C28" s="31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 t="shared" si="13"/>
        <v>0</v>
      </c>
      <c r="G28" s="27">
        <f t="shared" si="14"/>
        <v>0</v>
      </c>
      <c r="H28" s="71"/>
      <c r="I28" s="27">
        <f t="shared" si="15"/>
        <v>0</v>
      </c>
      <c r="J28" s="71"/>
      <c r="K28" s="27">
        <f t="shared" si="16"/>
        <v>0</v>
      </c>
      <c r="L28" s="71"/>
      <c r="M28" s="27">
        <f t="shared" si="17"/>
        <v>0</v>
      </c>
      <c r="N28" s="71"/>
      <c r="O28" s="27">
        <f t="shared" si="18"/>
        <v>0</v>
      </c>
      <c r="P28" s="71"/>
      <c r="Q28" s="27">
        <f t="shared" si="19"/>
        <v>0</v>
      </c>
      <c r="R28" s="71"/>
      <c r="S28" s="27">
        <f t="shared" si="20"/>
        <v>0</v>
      </c>
      <c r="T28" s="71"/>
      <c r="U28" s="27">
        <f t="shared" si="21"/>
        <v>0</v>
      </c>
      <c r="V28" s="69"/>
      <c r="W28" s="39">
        <f t="shared" si="22"/>
        <v>0</v>
      </c>
      <c r="Z28" s="95">
        <f>'Verification of Boxes'!J24</f>
        <v>0</v>
      </c>
      <c r="AA28" s="37">
        <f t="shared" si="23"/>
        <v>0</v>
      </c>
      <c r="AB28" s="5"/>
      <c r="AC28" s="100">
        <f t="shared" si="24"/>
        <v>0</v>
      </c>
      <c r="AD28" s="61"/>
      <c r="AE28" s="5">
        <f t="shared" si="26"/>
        <v>0</v>
      </c>
      <c r="AF28" s="5">
        <f t="shared" si="29"/>
        <v>0</v>
      </c>
      <c r="AG28" s="96">
        <f t="shared" si="30"/>
        <v>0</v>
      </c>
      <c r="AL28" s="267" t="s">
        <v>197</v>
      </c>
      <c r="AM28" s="268"/>
      <c r="AN28" s="268"/>
      <c r="AO28" s="268"/>
      <c r="AP28" s="268"/>
      <c r="AQ28" s="269"/>
      <c r="AR28" s="188"/>
      <c r="AS28" s="188"/>
      <c r="AT28" s="5">
        <f>AT27+AW28</f>
        <v>0</v>
      </c>
      <c r="AU28" s="5">
        <f t="shared" si="31"/>
        <v>0</v>
      </c>
      <c r="AV28" s="5">
        <f>AV27+AU28</f>
        <v>0</v>
      </c>
      <c r="AW28" s="5">
        <f t="shared" si="32"/>
        <v>0</v>
      </c>
      <c r="BA28" s="3"/>
      <c r="BB28" s="3"/>
      <c r="BC28" s="2"/>
      <c r="BR28" s="19" t="s">
        <v>123</v>
      </c>
      <c r="BS28" s="63"/>
      <c r="BT28" s="119">
        <f>BS28*BT$6</f>
        <v>0</v>
      </c>
      <c r="BU28" s="63"/>
      <c r="BV28" s="119">
        <f>BU28*BV$6</f>
        <v>0</v>
      </c>
      <c r="BW28" s="63"/>
      <c r="BX28" s="119">
        <f>BW28*BX$6</f>
        <v>0</v>
      </c>
      <c r="BY28" s="63"/>
      <c r="BZ28" s="119">
        <f>BY28*BZ$6</f>
        <v>0</v>
      </c>
      <c r="CA28" s="63"/>
      <c r="CB28" s="119">
        <f>CA28*CB$6</f>
        <v>0</v>
      </c>
      <c r="CC28" s="63"/>
      <c r="CD28" s="110">
        <f>CC28*CD$6</f>
        <v>0</v>
      </c>
      <c r="CE28" s="5">
        <f>BT28+BV28+BX28+BZ28+CB28+CD28</f>
        <v>0</v>
      </c>
    </row>
    <row r="29" spans="1:83" ht="13.5" thickBot="1" x14ac:dyDescent="0.35">
      <c r="A29" s="20">
        <f t="shared" si="12"/>
        <v>0</v>
      </c>
      <c r="B29" s="235">
        <f>'Overview Stage 1'!B29</f>
        <v>0</v>
      </c>
      <c r="C29" s="31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 t="shared" si="13"/>
        <v>0</v>
      </c>
      <c r="G29" s="27">
        <f t="shared" si="14"/>
        <v>0</v>
      </c>
      <c r="H29" s="71"/>
      <c r="I29" s="27">
        <f t="shared" si="15"/>
        <v>0</v>
      </c>
      <c r="J29" s="71"/>
      <c r="K29" s="27">
        <f t="shared" si="16"/>
        <v>0</v>
      </c>
      <c r="L29" s="71"/>
      <c r="M29" s="27">
        <f t="shared" si="17"/>
        <v>0</v>
      </c>
      <c r="N29" s="71"/>
      <c r="O29" s="27">
        <f t="shared" si="18"/>
        <v>0</v>
      </c>
      <c r="P29" s="71"/>
      <c r="Q29" s="27">
        <f t="shared" si="19"/>
        <v>0</v>
      </c>
      <c r="R29" s="71"/>
      <c r="S29" s="27">
        <f t="shared" si="20"/>
        <v>0</v>
      </c>
      <c r="T29" s="71"/>
      <c r="U29" s="27">
        <f t="shared" si="21"/>
        <v>0</v>
      </c>
      <c r="V29" s="69"/>
      <c r="W29" s="39">
        <f t="shared" si="22"/>
        <v>0</v>
      </c>
      <c r="Z29" s="95">
        <f>'Verification of Boxes'!J25</f>
        <v>0</v>
      </c>
      <c r="AA29" s="37">
        <f t="shared" si="23"/>
        <v>0</v>
      </c>
      <c r="AB29" s="5"/>
      <c r="AC29" s="100">
        <f t="shared" si="24"/>
        <v>0</v>
      </c>
      <c r="AD29" s="61"/>
      <c r="AE29" s="5">
        <f t="shared" si="26"/>
        <v>0</v>
      </c>
      <c r="AF29" s="5">
        <f t="shared" si="29"/>
        <v>0</v>
      </c>
      <c r="AG29" s="96">
        <f t="shared" si="30"/>
        <v>0</v>
      </c>
      <c r="AL29" s="270"/>
      <c r="AM29" s="271"/>
      <c r="AN29" s="271"/>
      <c r="AO29" s="271"/>
      <c r="AP29" s="271"/>
      <c r="AQ29" s="272"/>
      <c r="AR29" s="188"/>
      <c r="AS29" s="188"/>
      <c r="AT29" s="5">
        <f>AT28+AW29</f>
        <v>0</v>
      </c>
      <c r="AU29" s="5">
        <f t="shared" si="31"/>
        <v>0</v>
      </c>
      <c r="AV29" s="5">
        <f>AV28+AU29</f>
        <v>0</v>
      </c>
      <c r="AW29" s="5">
        <f t="shared" si="32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1139</v>
      </c>
      <c r="BR29" s="5" t="s">
        <v>200</v>
      </c>
      <c r="BS29" s="118">
        <f>SUM(BS8:BS28)</f>
        <v>0</v>
      </c>
      <c r="BT29" s="5">
        <f>BS29*BT$6</f>
        <v>0</v>
      </c>
      <c r="BU29" s="118">
        <f>SUM(BU8:BU28)</f>
        <v>0</v>
      </c>
      <c r="BV29" s="5">
        <f>BU29*BV$6</f>
        <v>0</v>
      </c>
      <c r="BW29" s="118">
        <f>SUM(BW8:BW28)</f>
        <v>0</v>
      </c>
      <c r="BX29" s="5">
        <f>BW29*BX$6</f>
        <v>0</v>
      </c>
      <c r="BY29" s="118">
        <f>SUM(BY8:BY28)</f>
        <v>0</v>
      </c>
      <c r="BZ29" s="5">
        <f>BY29*BZ$6</f>
        <v>0</v>
      </c>
      <c r="CA29" s="118">
        <f>SUM(CA8:CA28)</f>
        <v>0</v>
      </c>
      <c r="CB29" s="5">
        <f>CA29*CB$6</f>
        <v>0</v>
      </c>
      <c r="CC29" s="118">
        <f>SUM(CC8:CC28)</f>
        <v>0</v>
      </c>
      <c r="CD29" s="5">
        <f>CC29*CD$6</f>
        <v>0</v>
      </c>
      <c r="CE29" s="5">
        <f>SUM(CE8:CE28)</f>
        <v>0</v>
      </c>
    </row>
    <row r="30" spans="1:83" ht="14.25" customHeight="1" thickBot="1" x14ac:dyDescent="0.3">
      <c r="A30" s="21">
        <f t="shared" si="12"/>
        <v>0</v>
      </c>
      <c r="B30" s="235">
        <f>'Overview Stage 1'!B30</f>
        <v>0</v>
      </c>
      <c r="C30" s="138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 t="shared" si="13"/>
        <v>0</v>
      </c>
      <c r="G30" s="27">
        <f t="shared" si="14"/>
        <v>0</v>
      </c>
      <c r="H30" s="71"/>
      <c r="I30" s="27">
        <f t="shared" si="15"/>
        <v>0</v>
      </c>
      <c r="J30" s="71"/>
      <c r="K30" s="27">
        <f t="shared" si="16"/>
        <v>0</v>
      </c>
      <c r="L30" s="71"/>
      <c r="M30" s="27">
        <f t="shared" si="17"/>
        <v>0</v>
      </c>
      <c r="N30" s="71"/>
      <c r="O30" s="27">
        <f t="shared" si="18"/>
        <v>0</v>
      </c>
      <c r="P30" s="71"/>
      <c r="Q30" s="27">
        <f t="shared" si="19"/>
        <v>0</v>
      </c>
      <c r="R30" s="71"/>
      <c r="S30" s="27">
        <f t="shared" si="20"/>
        <v>0</v>
      </c>
      <c r="T30" s="71"/>
      <c r="U30" s="27">
        <f t="shared" si="21"/>
        <v>0</v>
      </c>
      <c r="V30" s="69"/>
      <c r="W30" s="39">
        <f t="shared" si="22"/>
        <v>0</v>
      </c>
      <c r="Z30" s="95">
        <f>'Verification of Boxes'!J26</f>
        <v>0</v>
      </c>
      <c r="AA30" s="37">
        <f t="shared" si="23"/>
        <v>0</v>
      </c>
      <c r="AB30" s="5"/>
      <c r="AC30" s="100">
        <f t="shared" si="24"/>
        <v>0</v>
      </c>
      <c r="AD30" s="61"/>
      <c r="AE30" s="5">
        <f t="shared" si="26"/>
        <v>0</v>
      </c>
      <c r="AF30" s="5">
        <f t="shared" si="29"/>
        <v>0</v>
      </c>
      <c r="AG30" s="96">
        <f t="shared" si="30"/>
        <v>0</v>
      </c>
      <c r="AL30" s="188"/>
      <c r="AM30" s="188"/>
      <c r="AN30" s="188"/>
      <c r="AO30" s="188"/>
      <c r="AP30" s="188"/>
      <c r="AQ30" s="188"/>
      <c r="AR30" s="188"/>
      <c r="AS30" s="188"/>
      <c r="AT30" s="5">
        <f>AT29+AW30</f>
        <v>0</v>
      </c>
      <c r="AU30" s="5">
        <f t="shared" si="31"/>
        <v>0</v>
      </c>
      <c r="AV30" s="5">
        <f>AV29+AU30</f>
        <v>0</v>
      </c>
      <c r="AW30" s="5">
        <f t="shared" si="32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201</v>
      </c>
      <c r="BJ30" s="328"/>
      <c r="BK30" s="329"/>
      <c r="BP30" s="305"/>
      <c r="BX30" s="333" t="str">
        <f>IF(BW31=BW69,"Calculations OK","Check Count for Error")</f>
        <v>Calculations OK</v>
      </c>
      <c r="BY30" s="333"/>
    </row>
    <row r="31" spans="1:83" ht="15" customHeight="1" thickBot="1" x14ac:dyDescent="0.3">
      <c r="D31" s="25" t="s">
        <v>118</v>
      </c>
      <c r="E31" s="189"/>
      <c r="F31" s="73">
        <f>$BK69</f>
        <v>1.9999999999996021E-2</v>
      </c>
      <c r="G31" s="40">
        <f t="shared" si="14"/>
        <v>1.9999999999996021E-2</v>
      </c>
      <c r="H31" s="73"/>
      <c r="I31" s="40">
        <f t="shared" si="15"/>
        <v>0</v>
      </c>
      <c r="J31" s="72"/>
      <c r="K31" s="40">
        <f t="shared" si="16"/>
        <v>0</v>
      </c>
      <c r="L31" s="72"/>
      <c r="M31" s="40">
        <f t="shared" si="17"/>
        <v>0</v>
      </c>
      <c r="N31" s="72"/>
      <c r="O31" s="40">
        <f t="shared" si="18"/>
        <v>0</v>
      </c>
      <c r="P31" s="72"/>
      <c r="Q31" s="40">
        <f t="shared" si="19"/>
        <v>0</v>
      </c>
      <c r="R31" s="72"/>
      <c r="S31" s="40">
        <f t="shared" si="20"/>
        <v>0</v>
      </c>
      <c r="T31" s="72"/>
      <c r="U31" s="40">
        <f t="shared" si="21"/>
        <v>0</v>
      </c>
      <c r="V31" s="70"/>
      <c r="W31" s="41">
        <f t="shared" si="22"/>
        <v>0</v>
      </c>
      <c r="Z31" s="95">
        <f>'Verification of Boxes'!J27</f>
        <v>0</v>
      </c>
      <c r="AA31" s="37">
        <f t="shared" si="23"/>
        <v>0</v>
      </c>
      <c r="AB31" s="5"/>
      <c r="AC31" s="100">
        <f t="shared" si="24"/>
        <v>0</v>
      </c>
      <c r="AD31" s="61"/>
      <c r="AE31" s="5">
        <f t="shared" si="26"/>
        <v>0</v>
      </c>
      <c r="AF31" s="5">
        <f t="shared" si="29"/>
        <v>0</v>
      </c>
      <c r="AG31" s="96">
        <f t="shared" si="30"/>
        <v>0</v>
      </c>
      <c r="AL31" s="267" t="s">
        <v>202</v>
      </c>
      <c r="AM31" s="268"/>
      <c r="AN31" s="268"/>
      <c r="AO31" s="268"/>
      <c r="AP31" s="268"/>
      <c r="AQ31" s="269"/>
      <c r="AR31" s="188"/>
      <c r="AS31" s="188"/>
      <c r="AT31" s="5">
        <f>AT30+AW31</f>
        <v>0</v>
      </c>
      <c r="AU31" s="5">
        <f t="shared" si="31"/>
        <v>0</v>
      </c>
      <c r="AV31" s="5">
        <f>AV30+AU31</f>
        <v>0</v>
      </c>
      <c r="AW31" s="5">
        <f t="shared" si="32"/>
        <v>0</v>
      </c>
      <c r="AZ31" t="s">
        <v>203</v>
      </c>
      <c r="BA31" s="3" t="s">
        <v>204</v>
      </c>
      <c r="BB31" s="3"/>
      <c r="BC31" s="50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P31" s="305"/>
      <c r="BV31" t="s">
        <v>119</v>
      </c>
      <c r="BW31" s="5">
        <f>BT29+BV29+BX29+BZ29+CB29+CD29</f>
        <v>0</v>
      </c>
      <c r="BX31" s="311"/>
      <c r="BY31" s="311"/>
      <c r="BZ31" s="5">
        <f>BW69-BW31</f>
        <v>0</v>
      </c>
      <c r="CB31" s="267" t="s">
        <v>206</v>
      </c>
      <c r="CC31" s="268"/>
      <c r="CD31" s="268"/>
      <c r="CE31" s="26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47">
        <f>SUM(G11:G31)</f>
        <v>7496</v>
      </c>
      <c r="H32" s="191"/>
      <c r="I32" s="49">
        <f>SUM(I11:I31)</f>
        <v>0</v>
      </c>
      <c r="J32" s="192"/>
      <c r="K32" s="49">
        <f>SUM(K11:K31)</f>
        <v>0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3"/>
        <v>0</v>
      </c>
      <c r="AB32" s="5"/>
      <c r="AC32" s="100">
        <f t="shared" si="24"/>
        <v>0</v>
      </c>
      <c r="AD32" s="61"/>
      <c r="AE32" s="5">
        <f t="shared" si="26"/>
        <v>0</v>
      </c>
      <c r="AF32" s="5">
        <f t="shared" si="29"/>
        <v>0</v>
      </c>
      <c r="AG32" s="96">
        <f t="shared" si="30"/>
        <v>0</v>
      </c>
      <c r="AL32" s="270"/>
      <c r="AM32" s="271"/>
      <c r="AN32" s="271"/>
      <c r="AO32" s="271"/>
      <c r="AP32" s="271"/>
      <c r="AQ32" s="272"/>
      <c r="AR32" s="188"/>
      <c r="AS32" s="188"/>
      <c r="AT32" s="5">
        <f>AT31+AW32</f>
        <v>0</v>
      </c>
      <c r="AU32" s="5">
        <f t="shared" si="31"/>
        <v>0</v>
      </c>
      <c r="AV32" s="5">
        <f>AV31+AU32</f>
        <v>0</v>
      </c>
      <c r="AW32" s="5">
        <f t="shared" si="32"/>
        <v>0</v>
      </c>
      <c r="BF32" s="311"/>
      <c r="BG32" s="311"/>
      <c r="BP32" s="305"/>
      <c r="BX32" s="311"/>
      <c r="BY32" s="311"/>
      <c r="CB32" s="270"/>
      <c r="CC32" s="271"/>
      <c r="CD32" s="271"/>
      <c r="CE32" s="272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Z33" s="97">
        <f>'Verification of Boxes'!J29</f>
        <v>0</v>
      </c>
      <c r="AA33" s="89">
        <f t="shared" si="23"/>
        <v>0</v>
      </c>
      <c r="AB33" s="90"/>
      <c r="AC33" s="101">
        <f t="shared" si="24"/>
        <v>0</v>
      </c>
      <c r="AD33" s="51"/>
      <c r="AE33" s="90">
        <f t="shared" si="26"/>
        <v>0</v>
      </c>
      <c r="AF33" s="90">
        <f t="shared" si="29"/>
        <v>0</v>
      </c>
      <c r="AG33" s="148">
        <f t="shared" si="30"/>
        <v>0</v>
      </c>
    </row>
    <row r="34" spans="4:75" ht="13" thickBot="1" x14ac:dyDescent="0.3">
      <c r="D34" s="42" t="s">
        <v>120</v>
      </c>
      <c r="E34" s="185">
        <f>'Overview Stage 1'!E34</f>
        <v>0.5083333333333333</v>
      </c>
      <c r="F34" s="18"/>
      <c r="G34" s="183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4"/>
      <c r="AM34" s="299"/>
      <c r="AN34" s="299"/>
      <c r="AO34" s="299"/>
      <c r="AP34" s="299"/>
      <c r="AQ34" s="299"/>
      <c r="AR34" s="299"/>
    </row>
    <row r="35" spans="4:75" x14ac:dyDescent="0.25">
      <c r="D35" s="25"/>
      <c r="E35" s="184"/>
      <c r="G35" s="184"/>
    </row>
    <row r="36" spans="4:75" x14ac:dyDescent="0.25">
      <c r="D36" s="25"/>
      <c r="E36" s="184"/>
      <c r="G36" s="184"/>
    </row>
    <row r="37" spans="4:75" x14ac:dyDescent="0.25">
      <c r="D37" s="25"/>
      <c r="E37" s="184"/>
      <c r="G37" s="184"/>
    </row>
    <row r="38" spans="4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33">AL39+AK40</f>
        <v>0</v>
      </c>
      <c r="AM40" s="5">
        <f t="shared" si="33"/>
        <v>0</v>
      </c>
      <c r="AN40" s="5">
        <f t="shared" si="33"/>
        <v>0</v>
      </c>
      <c r="AO40" s="5">
        <f t="shared" si="33"/>
        <v>0</v>
      </c>
      <c r="AP40" s="5">
        <f t="shared" si="33"/>
        <v>0</v>
      </c>
      <c r="AQ40" s="5">
        <f t="shared" si="33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34">IF(AK40=AL40,1,0)</f>
        <v>1</v>
      </c>
      <c r="AM41" s="5">
        <f t="shared" si="34"/>
        <v>1</v>
      </c>
      <c r="AN41" s="5">
        <f t="shared" si="34"/>
        <v>1</v>
      </c>
      <c r="AO41" s="5">
        <f t="shared" si="34"/>
        <v>1</v>
      </c>
      <c r="AP41" s="5">
        <f t="shared" si="34"/>
        <v>1</v>
      </c>
      <c r="AQ41" s="5">
        <f t="shared" si="34"/>
        <v>1</v>
      </c>
    </row>
    <row r="42" spans="4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35">IF(AM40=AL38,"add",0)</f>
        <v>0</v>
      </c>
      <c r="AM42" s="5">
        <f t="shared" si="35"/>
        <v>0</v>
      </c>
      <c r="AN42" s="5">
        <f t="shared" si="35"/>
        <v>0</v>
      </c>
      <c r="AO42" s="5">
        <f t="shared" si="35"/>
        <v>0</v>
      </c>
      <c r="AP42" s="5">
        <f t="shared" si="35"/>
        <v>0</v>
      </c>
      <c r="AQ42" s="5">
        <f t="shared" si="35"/>
        <v>0</v>
      </c>
    </row>
    <row r="43" spans="4:75" ht="12.75" customHeight="1" x14ac:dyDescent="0.25">
      <c r="Z43" s="250"/>
      <c r="AA43" s="250"/>
      <c r="AB43" s="250"/>
      <c r="AC43" s="250">
        <f>AG2</f>
        <v>108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MCEVOY</v>
      </c>
      <c r="AA44" s="250">
        <v>387</v>
      </c>
      <c r="AB44" s="250">
        <v>387</v>
      </c>
      <c r="AC44" s="250">
        <f>AC43+AA44</f>
        <v>495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FRENCH</v>
      </c>
      <c r="AA45" s="250">
        <v>472</v>
      </c>
      <c r="AB45" s="250">
        <v>472</v>
      </c>
      <c r="AC45" s="250">
        <f>AC44+AA45</f>
        <v>967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4:75" x14ac:dyDescent="0.25">
      <c r="Z46" s="253" t="str">
        <v>FLYNN</v>
      </c>
      <c r="AA46" s="250">
        <v>493</v>
      </c>
      <c r="AB46" s="250">
        <v>493</v>
      </c>
      <c r="AC46" s="250">
        <f t="shared" ref="AC46:AC63" si="36">AC45+AA46</f>
        <v>1460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387</v>
      </c>
      <c r="AN46" s="2">
        <f>AN47+AL46</f>
        <v>472</v>
      </c>
      <c r="AP46" s="2">
        <f>AP47+AN46</f>
        <v>493</v>
      </c>
      <c r="AR46" s="2">
        <f>AR47+AP46</f>
        <v>625</v>
      </c>
      <c r="AS46" s="2"/>
      <c r="AU46" s="2">
        <f>AU47+AR46</f>
        <v>674</v>
      </c>
      <c r="AW46" s="2">
        <f>AW47+AU46</f>
        <v>687</v>
      </c>
      <c r="AX46" s="2"/>
      <c r="BG46" t="s">
        <v>212</v>
      </c>
    </row>
    <row r="47" spans="4:75" x14ac:dyDescent="0.25">
      <c r="Z47" s="253" t="str">
        <v>PALMER</v>
      </c>
      <c r="AA47" s="250">
        <v>625</v>
      </c>
      <c r="AB47" s="250">
        <v>625</v>
      </c>
      <c r="AC47" s="250">
        <f t="shared" si="36"/>
        <v>2085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387</v>
      </c>
      <c r="AN47" s="2">
        <f>MIN(AN48:AN67)</f>
        <v>85</v>
      </c>
      <c r="AP47" s="2">
        <f>MIN(AP48:AP67)</f>
        <v>21</v>
      </c>
      <c r="AR47" s="2">
        <f>MIN(AR48:AR67)</f>
        <v>132</v>
      </c>
      <c r="AS47" s="2"/>
      <c r="AU47" s="2">
        <f>MIN(AU48:AU67)</f>
        <v>49</v>
      </c>
      <c r="AW47" s="2">
        <f>MIN(AW48:AW67)</f>
        <v>13</v>
      </c>
      <c r="AX47" s="2"/>
    </row>
    <row r="48" spans="4:75" ht="37.5" x14ac:dyDescent="0.25">
      <c r="Z48" s="253" t="str">
        <v>KENNEDY</v>
      </c>
      <c r="AA48" s="250">
        <v>674</v>
      </c>
      <c r="AB48" s="250">
        <v>674</v>
      </c>
      <c r="AC48" s="250">
        <f t="shared" si="36"/>
        <v>2759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J60" si="37">Z14</f>
        <v>EWING</v>
      </c>
      <c r="AK48" s="2">
        <f t="shared" ref="AK48:AK60" si="38">AA14</f>
        <v>1139</v>
      </c>
      <c r="AL48">
        <f>IF(AK48&lt;&gt;0,AK48,1000000)</f>
        <v>1139</v>
      </c>
      <c r="AM48" s="2">
        <f t="shared" ref="AM48:AM67" si="39">AL48-AL$47</f>
        <v>752</v>
      </c>
      <c r="AN48">
        <f>IF(AM48&lt;&gt;0,AM48,1000000)</f>
        <v>752</v>
      </c>
      <c r="AO48" s="2">
        <f t="shared" ref="AO48:AO67" si="40">AN48-AN$47</f>
        <v>667</v>
      </c>
      <c r="AP48">
        <f t="shared" ref="AP48:AP67" si="41">IF(AO48&lt;&gt;0,AO48,1000000)</f>
        <v>667</v>
      </c>
      <c r="AQ48" s="2">
        <f t="shared" ref="AQ48:AQ67" si="42">AP48-AP$47</f>
        <v>646</v>
      </c>
      <c r="AR48">
        <f t="shared" ref="AR48:AR67" si="43">IF(AQ48&lt;&gt;0,AQ48,1000000)</f>
        <v>646</v>
      </c>
      <c r="AT48" s="2">
        <f t="shared" ref="AT48:AT67" si="44">AR48-AR$47</f>
        <v>514</v>
      </c>
      <c r="AU48">
        <f t="shared" ref="AU48:AU67" si="45">IF(AT48&lt;&gt;0,AT48,1000000)</f>
        <v>514</v>
      </c>
      <c r="AV48" s="2">
        <f t="shared" ref="AV48:AV67" si="46">AU48-AU$47</f>
        <v>465</v>
      </c>
      <c r="AW48">
        <f t="shared" ref="AW48:AW67" si="47">IF(AV48&lt;&gt;0,AV48,1000000)</f>
        <v>465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W48" t="s">
        <v>218</v>
      </c>
    </row>
    <row r="49" spans="26:75" x14ac:dyDescent="0.25">
      <c r="Z49" s="253" t="str">
        <v>PORTER</v>
      </c>
      <c r="AA49" s="250">
        <v>687</v>
      </c>
      <c r="AB49" s="250">
        <v>687</v>
      </c>
      <c r="AC49" s="250">
        <f t="shared" si="36"/>
        <v>3446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7"/>
        <v>FLYNN</v>
      </c>
      <c r="AK49" s="2">
        <f t="shared" si="38"/>
        <v>493</v>
      </c>
      <c r="AL49">
        <f t="shared" ref="AL49:AL67" si="48">IF(AK49&lt;&gt;0,AK49,1000000)</f>
        <v>493</v>
      </c>
      <c r="AM49" s="2">
        <f t="shared" si="39"/>
        <v>106</v>
      </c>
      <c r="AN49">
        <f t="shared" ref="AN49:AN67" si="49">IF(AM49&lt;&gt;0,AM49,1000000)</f>
        <v>106</v>
      </c>
      <c r="AO49" s="2">
        <f t="shared" si="40"/>
        <v>21</v>
      </c>
      <c r="AP49">
        <f t="shared" si="41"/>
        <v>21</v>
      </c>
      <c r="AQ49" s="2">
        <f t="shared" si="42"/>
        <v>0</v>
      </c>
      <c r="AR49">
        <f t="shared" si="43"/>
        <v>1000000</v>
      </c>
      <c r="AT49" s="2">
        <f t="shared" si="44"/>
        <v>999868</v>
      </c>
      <c r="AU49">
        <f t="shared" si="45"/>
        <v>999868</v>
      </c>
      <c r="AV49" s="2">
        <f t="shared" si="46"/>
        <v>999819</v>
      </c>
      <c r="AW49">
        <f t="shared" si="47"/>
        <v>999819</v>
      </c>
      <c r="BE49" s="5" t="str">
        <f>IF($BH5="y",$BE5,IF($BH6="y",$BE6,IF($BH7="y",$BE7,IF($BH8="y",$BE8,IF($BH9="y",$BE9,IF($BH10="y",$BE10,0))))))</f>
        <v>EWING</v>
      </c>
      <c r="BG49" s="125" t="str">
        <f t="shared" ref="BG49:BG68" si="50">BE5</f>
        <v>EWING</v>
      </c>
      <c r="BH49" s="126"/>
      <c r="BI49" s="5">
        <f t="shared" ref="BI49:BI60" si="51">IF(BE5=0,0,IF(BE5=BA$8,-BC$12,0))</f>
        <v>-68</v>
      </c>
      <c r="BJ49" s="5">
        <f t="shared" ref="BJ49:BJ60" si="52">BN49</f>
        <v>0</v>
      </c>
      <c r="BK49" s="5">
        <f t="shared" ref="BK49:BK68" si="53">BG5+CE8+BJ49+BI49</f>
        <v>-68</v>
      </c>
      <c r="BN49" s="5">
        <f t="shared" ref="BN49:BN68" si="54">IF(BP8="y",-BO8,0)</f>
        <v>0</v>
      </c>
      <c r="BW49" s="5">
        <f t="shared" ref="BW49:BW68" si="55">IF(BP8="y",BO8,0)</f>
        <v>0</v>
      </c>
    </row>
    <row r="50" spans="26:75" x14ac:dyDescent="0.25">
      <c r="Z50" s="253" t="str">
        <v>MITCHELL</v>
      </c>
      <c r="AA50" s="250">
        <v>870</v>
      </c>
      <c r="AB50" s="250">
        <v>870</v>
      </c>
      <c r="AC50" s="250">
        <f t="shared" si="36"/>
        <v>4316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7"/>
        <v>FRENCH</v>
      </c>
      <c r="AK50" s="2">
        <f t="shared" si="38"/>
        <v>472</v>
      </c>
      <c r="AL50">
        <f t="shared" si="48"/>
        <v>472</v>
      </c>
      <c r="AM50" s="2">
        <f t="shared" si="39"/>
        <v>85</v>
      </c>
      <c r="AN50">
        <f t="shared" si="49"/>
        <v>85</v>
      </c>
      <c r="AO50" s="2">
        <f t="shared" si="40"/>
        <v>0</v>
      </c>
      <c r="AP50">
        <f t="shared" si="41"/>
        <v>1000000</v>
      </c>
      <c r="AQ50" s="2">
        <f t="shared" si="42"/>
        <v>999979</v>
      </c>
      <c r="AR50">
        <f t="shared" si="43"/>
        <v>999979</v>
      </c>
      <c r="AT50" s="2">
        <f t="shared" si="44"/>
        <v>999847</v>
      </c>
      <c r="AU50">
        <f t="shared" si="45"/>
        <v>999847</v>
      </c>
      <c r="AV50" s="2">
        <f t="shared" si="46"/>
        <v>999798</v>
      </c>
      <c r="AW50">
        <f t="shared" si="47"/>
        <v>999798</v>
      </c>
      <c r="BE50" s="5">
        <f>IF($BH11="y",$BE11,IF($BH12="y",$BE12,IF($BH13="y",$BE13,IF($BH14="y",$BE14,IF($BH15="y",$BE15,IF($BH16="y",$BE16,0))))))</f>
        <v>0</v>
      </c>
      <c r="BG50" s="127" t="str">
        <f t="shared" si="50"/>
        <v>FLYNN</v>
      </c>
      <c r="BH50" s="128"/>
      <c r="BI50" s="5">
        <f t="shared" si="51"/>
        <v>0</v>
      </c>
      <c r="BJ50" s="5">
        <f t="shared" si="52"/>
        <v>0</v>
      </c>
      <c r="BK50" s="5">
        <f t="shared" si="53"/>
        <v>0.42</v>
      </c>
      <c r="BN50" s="5">
        <f t="shared" si="54"/>
        <v>0</v>
      </c>
      <c r="BW50" s="5">
        <f t="shared" si="55"/>
        <v>0</v>
      </c>
    </row>
    <row r="51" spans="26:75" ht="12.75" customHeight="1" x14ac:dyDescent="0.25">
      <c r="Z51" s="253" t="str">
        <v>GIVAN</v>
      </c>
      <c r="AA51" s="250">
        <v>1038</v>
      </c>
      <c r="AB51" s="250">
        <v>1038</v>
      </c>
      <c r="AC51" s="250">
        <f t="shared" si="36"/>
        <v>5354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7"/>
        <v>GIVAN</v>
      </c>
      <c r="AK51" s="2">
        <f t="shared" si="38"/>
        <v>1038</v>
      </c>
      <c r="AL51">
        <f t="shared" si="48"/>
        <v>1038</v>
      </c>
      <c r="AM51" s="2">
        <f t="shared" si="39"/>
        <v>651</v>
      </c>
      <c r="AN51">
        <f t="shared" si="49"/>
        <v>651</v>
      </c>
      <c r="AO51" s="2">
        <f t="shared" si="40"/>
        <v>566</v>
      </c>
      <c r="AP51">
        <f t="shared" si="41"/>
        <v>566</v>
      </c>
      <c r="AQ51" s="2">
        <f t="shared" si="42"/>
        <v>545</v>
      </c>
      <c r="AR51">
        <f t="shared" si="43"/>
        <v>545</v>
      </c>
      <c r="AT51" s="2">
        <f t="shared" si="44"/>
        <v>413</v>
      </c>
      <c r="AU51">
        <f t="shared" si="45"/>
        <v>413</v>
      </c>
      <c r="AV51" s="2">
        <f t="shared" si="46"/>
        <v>364</v>
      </c>
      <c r="AW51">
        <f t="shared" si="47"/>
        <v>364</v>
      </c>
      <c r="BE51" s="5">
        <f>IF($BH17="y",$BE17,IF($BH18="y",$BE18,IF($BH19="y",$BE19,IF($BH20="y",$BE20,IF($BH21="y",$BE21,IF($BH22="y",$BE22,0))))))</f>
        <v>0</v>
      </c>
      <c r="BG51" s="127" t="str">
        <f t="shared" si="50"/>
        <v>FRENCH</v>
      </c>
      <c r="BH51" s="128"/>
      <c r="BI51" s="5">
        <f t="shared" si="51"/>
        <v>0</v>
      </c>
      <c r="BJ51" s="5">
        <f t="shared" si="52"/>
        <v>0</v>
      </c>
      <c r="BK51" s="5">
        <f t="shared" si="53"/>
        <v>0.42</v>
      </c>
      <c r="BN51" s="5">
        <f t="shared" si="54"/>
        <v>0</v>
      </c>
      <c r="BW51" s="5">
        <f t="shared" si="55"/>
        <v>0</v>
      </c>
    </row>
    <row r="52" spans="26:75" x14ac:dyDescent="0.25">
      <c r="Z52" s="253" t="str">
        <v>GREHAN</v>
      </c>
      <c r="AA52" s="250">
        <v>1111</v>
      </c>
      <c r="AB52" s="250">
        <v>1111</v>
      </c>
      <c r="AC52" s="250">
        <f t="shared" si="36"/>
        <v>6465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7"/>
        <v>GREHAN</v>
      </c>
      <c r="AK52" s="2">
        <f t="shared" si="38"/>
        <v>1111</v>
      </c>
      <c r="AL52">
        <f t="shared" si="48"/>
        <v>1111</v>
      </c>
      <c r="AM52" s="2">
        <f t="shared" si="39"/>
        <v>724</v>
      </c>
      <c r="AN52">
        <f t="shared" si="49"/>
        <v>724</v>
      </c>
      <c r="AO52" s="2">
        <f t="shared" si="40"/>
        <v>639</v>
      </c>
      <c r="AP52">
        <f t="shared" si="41"/>
        <v>639</v>
      </c>
      <c r="AQ52" s="2">
        <f t="shared" si="42"/>
        <v>618</v>
      </c>
      <c r="AR52">
        <f t="shared" si="43"/>
        <v>618</v>
      </c>
      <c r="AT52" s="2">
        <f t="shared" si="44"/>
        <v>486</v>
      </c>
      <c r="AU52">
        <f t="shared" si="45"/>
        <v>486</v>
      </c>
      <c r="AV52" s="2">
        <f t="shared" si="46"/>
        <v>437</v>
      </c>
      <c r="AW52">
        <f t="shared" si="47"/>
        <v>437</v>
      </c>
      <c r="BE52" s="5">
        <f>IF($BH23="y",$BE23,IF($BH24="y",$BE24,0))</f>
        <v>0</v>
      </c>
      <c r="BG52" s="127" t="str">
        <f t="shared" si="50"/>
        <v>GIVAN</v>
      </c>
      <c r="BH52" s="128"/>
      <c r="BI52" s="5">
        <f t="shared" si="51"/>
        <v>0</v>
      </c>
      <c r="BJ52" s="5">
        <f t="shared" si="52"/>
        <v>0</v>
      </c>
      <c r="BK52" s="5">
        <f t="shared" si="53"/>
        <v>51.6</v>
      </c>
      <c r="BN52" s="5">
        <f t="shared" si="54"/>
        <v>0</v>
      </c>
      <c r="BW52" s="5">
        <f t="shared" si="55"/>
        <v>0</v>
      </c>
    </row>
    <row r="53" spans="26:75" x14ac:dyDescent="0.25">
      <c r="Z53" s="253" t="str">
        <v>EWING</v>
      </c>
      <c r="AA53" s="250">
        <v>1139</v>
      </c>
      <c r="AB53" s="250">
        <v>1139</v>
      </c>
      <c r="AC53" s="250">
        <f t="shared" si="36"/>
        <v>7604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7"/>
        <v>KENNEDY</v>
      </c>
      <c r="AK53" s="2">
        <f t="shared" si="38"/>
        <v>674</v>
      </c>
      <c r="AL53">
        <f t="shared" si="48"/>
        <v>674</v>
      </c>
      <c r="AM53" s="2">
        <f t="shared" si="39"/>
        <v>287</v>
      </c>
      <c r="AN53">
        <f t="shared" si="49"/>
        <v>287</v>
      </c>
      <c r="AO53" s="2">
        <f t="shared" si="40"/>
        <v>202</v>
      </c>
      <c r="AP53">
        <f t="shared" si="41"/>
        <v>202</v>
      </c>
      <c r="AQ53" s="2">
        <f t="shared" si="42"/>
        <v>181</v>
      </c>
      <c r="AR53">
        <f t="shared" si="43"/>
        <v>181</v>
      </c>
      <c r="AT53" s="2">
        <f t="shared" si="44"/>
        <v>49</v>
      </c>
      <c r="AU53">
        <f t="shared" si="45"/>
        <v>49</v>
      </c>
      <c r="AV53" s="2">
        <f t="shared" si="46"/>
        <v>0</v>
      </c>
      <c r="AW53">
        <f t="shared" si="47"/>
        <v>1000000</v>
      </c>
      <c r="BG53" s="127" t="str">
        <f t="shared" si="50"/>
        <v>GREHAN</v>
      </c>
      <c r="BH53" s="128"/>
      <c r="BI53" s="5">
        <f t="shared" si="51"/>
        <v>0</v>
      </c>
      <c r="BJ53" s="5">
        <f t="shared" si="52"/>
        <v>0</v>
      </c>
      <c r="BK53" s="5">
        <f t="shared" si="53"/>
        <v>0</v>
      </c>
      <c r="BN53" s="5">
        <f t="shared" si="54"/>
        <v>0</v>
      </c>
      <c r="BW53" s="5">
        <f t="shared" si="55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36"/>
        <v>7604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7"/>
        <v>MCEVOY</v>
      </c>
      <c r="AK54" s="2">
        <f t="shared" si="38"/>
        <v>387</v>
      </c>
      <c r="AL54">
        <f t="shared" si="48"/>
        <v>387</v>
      </c>
      <c r="AM54" s="2">
        <f t="shared" si="39"/>
        <v>0</v>
      </c>
      <c r="AN54">
        <f t="shared" si="49"/>
        <v>1000000</v>
      </c>
      <c r="AO54" s="2">
        <f t="shared" si="40"/>
        <v>999915</v>
      </c>
      <c r="AP54">
        <f t="shared" si="41"/>
        <v>999915</v>
      </c>
      <c r="AQ54" s="2">
        <f t="shared" si="42"/>
        <v>999894</v>
      </c>
      <c r="AR54">
        <f t="shared" si="43"/>
        <v>999894</v>
      </c>
      <c r="AT54" s="2">
        <f t="shared" si="44"/>
        <v>999762</v>
      </c>
      <c r="AU54">
        <f t="shared" si="45"/>
        <v>999762</v>
      </c>
      <c r="AV54" s="2">
        <f t="shared" si="46"/>
        <v>999713</v>
      </c>
      <c r="AW54">
        <f t="shared" si="47"/>
        <v>999713</v>
      </c>
      <c r="BG54" s="127" t="str">
        <f t="shared" si="50"/>
        <v>KENNEDY</v>
      </c>
      <c r="BH54" s="128"/>
      <c r="BI54" s="5">
        <f t="shared" si="51"/>
        <v>0</v>
      </c>
      <c r="BJ54" s="5">
        <f t="shared" si="52"/>
        <v>0</v>
      </c>
      <c r="BK54" s="5">
        <f t="shared" si="53"/>
        <v>0.24</v>
      </c>
      <c r="BN54" s="5">
        <f t="shared" si="54"/>
        <v>0</v>
      </c>
      <c r="BW54" s="5">
        <f t="shared" si="55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36"/>
        <v>7604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7"/>
        <v>MITCHELL</v>
      </c>
      <c r="AK55" s="2">
        <f t="shared" si="38"/>
        <v>870</v>
      </c>
      <c r="AL55">
        <f t="shared" si="48"/>
        <v>870</v>
      </c>
      <c r="AM55" s="2">
        <f t="shared" si="39"/>
        <v>483</v>
      </c>
      <c r="AN55">
        <f t="shared" si="49"/>
        <v>483</v>
      </c>
      <c r="AO55" s="2">
        <f t="shared" si="40"/>
        <v>398</v>
      </c>
      <c r="AP55">
        <f t="shared" si="41"/>
        <v>398</v>
      </c>
      <c r="AQ55" s="2">
        <f t="shared" si="42"/>
        <v>377</v>
      </c>
      <c r="AR55">
        <f t="shared" si="43"/>
        <v>377</v>
      </c>
      <c r="AT55" s="2">
        <f t="shared" si="44"/>
        <v>245</v>
      </c>
      <c r="AU55">
        <f t="shared" si="45"/>
        <v>245</v>
      </c>
      <c r="AV55" s="2">
        <f t="shared" si="46"/>
        <v>196</v>
      </c>
      <c r="AW55">
        <f t="shared" si="47"/>
        <v>196</v>
      </c>
      <c r="BG55" s="127" t="str">
        <f t="shared" si="50"/>
        <v>MCEVOY</v>
      </c>
      <c r="BH55" s="128"/>
      <c r="BI55" s="5">
        <f t="shared" si="51"/>
        <v>0</v>
      </c>
      <c r="BJ55" s="5">
        <f t="shared" si="52"/>
        <v>0</v>
      </c>
      <c r="BK55" s="5">
        <f t="shared" si="53"/>
        <v>1.44</v>
      </c>
      <c r="BN55" s="5">
        <f t="shared" si="54"/>
        <v>0</v>
      </c>
      <c r="BW55" s="5">
        <f t="shared" si="55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6"/>
        <v>7604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37"/>
        <v>PALMER</v>
      </c>
      <c r="AK56" s="2">
        <f t="shared" si="38"/>
        <v>625</v>
      </c>
      <c r="AL56">
        <f t="shared" si="48"/>
        <v>625</v>
      </c>
      <c r="AM56" s="2">
        <f t="shared" si="39"/>
        <v>238</v>
      </c>
      <c r="AN56">
        <f t="shared" si="49"/>
        <v>238</v>
      </c>
      <c r="AO56" s="2">
        <f t="shared" si="40"/>
        <v>153</v>
      </c>
      <c r="AP56">
        <f t="shared" si="41"/>
        <v>153</v>
      </c>
      <c r="AQ56" s="2">
        <f t="shared" si="42"/>
        <v>132</v>
      </c>
      <c r="AR56">
        <f t="shared" si="43"/>
        <v>132</v>
      </c>
      <c r="AT56" s="2">
        <f t="shared" si="44"/>
        <v>0</v>
      </c>
      <c r="AU56">
        <f t="shared" si="45"/>
        <v>1000000</v>
      </c>
      <c r="AV56" s="2">
        <f t="shared" si="46"/>
        <v>999951</v>
      </c>
      <c r="AW56">
        <f t="shared" si="47"/>
        <v>999951</v>
      </c>
      <c r="BG56" s="127" t="str">
        <f t="shared" si="50"/>
        <v>MITCHELL</v>
      </c>
      <c r="BH56" s="128"/>
      <c r="BI56" s="5">
        <f t="shared" si="51"/>
        <v>0</v>
      </c>
      <c r="BJ56" s="5">
        <f t="shared" si="52"/>
        <v>0</v>
      </c>
      <c r="BK56" s="5">
        <f t="shared" si="53"/>
        <v>1.44</v>
      </c>
      <c r="BN56" s="5">
        <f t="shared" si="54"/>
        <v>0</v>
      </c>
      <c r="BW56" s="5">
        <f t="shared" si="55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36"/>
        <v>7604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37"/>
        <v>PORTER</v>
      </c>
      <c r="AK57" s="2">
        <f t="shared" si="38"/>
        <v>687</v>
      </c>
      <c r="AL57">
        <f t="shared" si="48"/>
        <v>687</v>
      </c>
      <c r="AM57" s="2">
        <f t="shared" si="39"/>
        <v>300</v>
      </c>
      <c r="AN57">
        <f t="shared" si="49"/>
        <v>300</v>
      </c>
      <c r="AO57" s="2">
        <f t="shared" si="40"/>
        <v>215</v>
      </c>
      <c r="AP57">
        <f t="shared" si="41"/>
        <v>215</v>
      </c>
      <c r="AQ57" s="2">
        <f t="shared" si="42"/>
        <v>194</v>
      </c>
      <c r="AR57">
        <f t="shared" si="43"/>
        <v>194</v>
      </c>
      <c r="AT57" s="2">
        <f t="shared" si="44"/>
        <v>62</v>
      </c>
      <c r="AU57">
        <f t="shared" si="45"/>
        <v>62</v>
      </c>
      <c r="AV57" s="2">
        <f t="shared" si="46"/>
        <v>13</v>
      </c>
      <c r="AW57">
        <f t="shared" si="47"/>
        <v>13</v>
      </c>
      <c r="BG57" s="127" t="str">
        <f t="shared" si="50"/>
        <v>PALMER</v>
      </c>
      <c r="BH57" s="128"/>
      <c r="BI57" s="5">
        <f t="shared" si="51"/>
        <v>0</v>
      </c>
      <c r="BJ57" s="5">
        <f t="shared" si="52"/>
        <v>0</v>
      </c>
      <c r="BK57" s="5">
        <f t="shared" si="53"/>
        <v>3.42</v>
      </c>
      <c r="BN57" s="5">
        <f t="shared" si="54"/>
        <v>0</v>
      </c>
      <c r="BW57" s="5">
        <f t="shared" si="55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36"/>
        <v>7604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37"/>
        <v>0</v>
      </c>
      <c r="AK58" s="2">
        <f t="shared" si="38"/>
        <v>0</v>
      </c>
      <c r="AL58">
        <f t="shared" si="48"/>
        <v>1000000</v>
      </c>
      <c r="AM58" s="2">
        <f t="shared" si="39"/>
        <v>999613</v>
      </c>
      <c r="AN58">
        <f t="shared" si="49"/>
        <v>999613</v>
      </c>
      <c r="AO58" s="2">
        <f t="shared" si="40"/>
        <v>999528</v>
      </c>
      <c r="AP58">
        <f t="shared" si="41"/>
        <v>999528</v>
      </c>
      <c r="AQ58" s="2">
        <f t="shared" si="42"/>
        <v>999507</v>
      </c>
      <c r="AR58">
        <f t="shared" si="43"/>
        <v>999507</v>
      </c>
      <c r="AT58" s="2">
        <f t="shared" si="44"/>
        <v>999375</v>
      </c>
      <c r="AU58">
        <f t="shared" si="45"/>
        <v>999375</v>
      </c>
      <c r="AV58" s="2">
        <f t="shared" si="46"/>
        <v>999326</v>
      </c>
      <c r="AW58">
        <f t="shared" si="47"/>
        <v>999326</v>
      </c>
      <c r="BG58" s="127" t="str">
        <f t="shared" si="50"/>
        <v>PORTER</v>
      </c>
      <c r="BH58" s="128"/>
      <c r="BI58" s="5">
        <f t="shared" si="51"/>
        <v>0</v>
      </c>
      <c r="BJ58" s="5">
        <f t="shared" si="52"/>
        <v>0</v>
      </c>
      <c r="BK58" s="5">
        <f t="shared" si="53"/>
        <v>9</v>
      </c>
      <c r="BN58" s="5">
        <f t="shared" si="54"/>
        <v>0</v>
      </c>
      <c r="BW58" s="5">
        <f t="shared" si="55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36"/>
        <v>7604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37"/>
        <v>0</v>
      </c>
      <c r="AK59" s="2">
        <f t="shared" si="38"/>
        <v>0</v>
      </c>
      <c r="AL59">
        <f t="shared" si="48"/>
        <v>1000000</v>
      </c>
      <c r="AM59" s="2">
        <f t="shared" si="39"/>
        <v>999613</v>
      </c>
      <c r="AN59">
        <f t="shared" si="49"/>
        <v>999613</v>
      </c>
      <c r="AO59" s="2">
        <f t="shared" si="40"/>
        <v>999528</v>
      </c>
      <c r="AP59">
        <f t="shared" si="41"/>
        <v>999528</v>
      </c>
      <c r="AQ59" s="2">
        <f t="shared" si="42"/>
        <v>999507</v>
      </c>
      <c r="AR59">
        <f t="shared" si="43"/>
        <v>999507</v>
      </c>
      <c r="AT59" s="2">
        <f t="shared" si="44"/>
        <v>999375</v>
      </c>
      <c r="AU59">
        <f t="shared" si="45"/>
        <v>999375</v>
      </c>
      <c r="AV59" s="2">
        <f t="shared" si="46"/>
        <v>999326</v>
      </c>
      <c r="AW59">
        <f t="shared" si="47"/>
        <v>999326</v>
      </c>
      <c r="BG59" s="127">
        <f t="shared" si="50"/>
        <v>0</v>
      </c>
      <c r="BH59" s="128"/>
      <c r="BI59" s="5">
        <f t="shared" si="51"/>
        <v>0</v>
      </c>
      <c r="BJ59" s="5">
        <f t="shared" si="52"/>
        <v>0</v>
      </c>
      <c r="BK59" s="5">
        <f t="shared" si="53"/>
        <v>0</v>
      </c>
      <c r="BN59" s="5">
        <f t="shared" si="54"/>
        <v>0</v>
      </c>
      <c r="BW59" s="5">
        <f t="shared" si="55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36"/>
        <v>7604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7"/>
        <v>0</v>
      </c>
      <c r="AK60" s="2">
        <f t="shared" si="38"/>
        <v>0</v>
      </c>
      <c r="AL60">
        <f t="shared" si="48"/>
        <v>1000000</v>
      </c>
      <c r="AM60" s="2">
        <f t="shared" si="39"/>
        <v>999613</v>
      </c>
      <c r="AN60">
        <f t="shared" si="49"/>
        <v>999613</v>
      </c>
      <c r="AO60" s="2">
        <f t="shared" si="40"/>
        <v>999528</v>
      </c>
      <c r="AP60">
        <f t="shared" si="41"/>
        <v>999528</v>
      </c>
      <c r="AQ60" s="2">
        <f t="shared" si="42"/>
        <v>999507</v>
      </c>
      <c r="AR60">
        <f t="shared" si="43"/>
        <v>999507</v>
      </c>
      <c r="AT60" s="2">
        <f t="shared" si="44"/>
        <v>999375</v>
      </c>
      <c r="AU60">
        <f t="shared" si="45"/>
        <v>999375</v>
      </c>
      <c r="AV60" s="2">
        <f t="shared" si="46"/>
        <v>999326</v>
      </c>
      <c r="AW60">
        <f t="shared" si="47"/>
        <v>999326</v>
      </c>
      <c r="BG60" s="127">
        <f t="shared" si="50"/>
        <v>0</v>
      </c>
      <c r="BH60" s="128"/>
      <c r="BI60" s="5">
        <f t="shared" si="51"/>
        <v>0</v>
      </c>
      <c r="BJ60" s="5">
        <f t="shared" si="52"/>
        <v>0</v>
      </c>
      <c r="BK60" s="5">
        <f t="shared" si="53"/>
        <v>0</v>
      </c>
      <c r="BN60" s="5">
        <f t="shared" si="54"/>
        <v>0</v>
      </c>
      <c r="BW60" s="5">
        <f t="shared" si="55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36"/>
        <v>7604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ref="AJ61:AJ67" si="56">Z27</f>
        <v>0</v>
      </c>
      <c r="AK61" s="2">
        <f t="shared" ref="AK61:AK67" si="57">AA27</f>
        <v>0</v>
      </c>
      <c r="AL61">
        <f t="shared" si="48"/>
        <v>1000000</v>
      </c>
      <c r="AM61" s="2">
        <f t="shared" si="39"/>
        <v>999613</v>
      </c>
      <c r="AN61">
        <f t="shared" si="49"/>
        <v>999613</v>
      </c>
      <c r="AO61" s="2">
        <f t="shared" si="40"/>
        <v>999528</v>
      </c>
      <c r="AP61">
        <f t="shared" si="41"/>
        <v>999528</v>
      </c>
      <c r="AQ61" s="2">
        <f t="shared" si="42"/>
        <v>999507</v>
      </c>
      <c r="AR61">
        <f t="shared" si="43"/>
        <v>999507</v>
      </c>
      <c r="AT61" s="2">
        <f t="shared" si="44"/>
        <v>999375</v>
      </c>
      <c r="AU61">
        <f t="shared" si="45"/>
        <v>999375</v>
      </c>
      <c r="AV61" s="2">
        <f t="shared" si="46"/>
        <v>999326</v>
      </c>
      <c r="AW61">
        <f t="shared" si="47"/>
        <v>999326</v>
      </c>
      <c r="BG61" s="127">
        <f t="shared" si="50"/>
        <v>0</v>
      </c>
      <c r="BH61" s="128"/>
      <c r="BI61" s="5">
        <f t="shared" ref="BI61:BI68" si="58">IF(BE17=0,0,IF(BE17=BA$8,-BC$12,0))</f>
        <v>0</v>
      </c>
      <c r="BJ61" s="5">
        <f t="shared" ref="BJ61:BJ68" si="59">BN61</f>
        <v>0</v>
      </c>
      <c r="BK61" s="5">
        <f t="shared" si="53"/>
        <v>0</v>
      </c>
      <c r="BN61" s="5">
        <f t="shared" si="54"/>
        <v>0</v>
      </c>
      <c r="BW61" s="5">
        <f t="shared" si="55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36"/>
        <v>7604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56"/>
        <v>0</v>
      </c>
      <c r="AK62" s="2">
        <f t="shared" si="57"/>
        <v>0</v>
      </c>
      <c r="AL62">
        <f t="shared" si="48"/>
        <v>1000000</v>
      </c>
      <c r="AM62" s="2">
        <f t="shared" si="39"/>
        <v>999613</v>
      </c>
      <c r="AN62">
        <f t="shared" si="49"/>
        <v>999613</v>
      </c>
      <c r="AO62" s="2">
        <f t="shared" si="40"/>
        <v>999528</v>
      </c>
      <c r="AP62">
        <f t="shared" si="41"/>
        <v>999528</v>
      </c>
      <c r="AQ62" s="2">
        <f t="shared" si="42"/>
        <v>999507</v>
      </c>
      <c r="AR62">
        <f t="shared" si="43"/>
        <v>999507</v>
      </c>
      <c r="AT62" s="2">
        <f t="shared" si="44"/>
        <v>999375</v>
      </c>
      <c r="AU62">
        <f t="shared" si="45"/>
        <v>999375</v>
      </c>
      <c r="AV62" s="2">
        <f t="shared" si="46"/>
        <v>999326</v>
      </c>
      <c r="AW62">
        <f t="shared" si="47"/>
        <v>999326</v>
      </c>
      <c r="BG62" s="127">
        <f t="shared" si="50"/>
        <v>0</v>
      </c>
      <c r="BH62" s="128"/>
      <c r="BI62" s="5">
        <f t="shared" si="58"/>
        <v>0</v>
      </c>
      <c r="BJ62" s="5">
        <f t="shared" si="59"/>
        <v>0</v>
      </c>
      <c r="BK62" s="5">
        <f t="shared" si="53"/>
        <v>0</v>
      </c>
      <c r="BN62" s="5">
        <f t="shared" si="54"/>
        <v>0</v>
      </c>
      <c r="BW62" s="5">
        <f t="shared" si="55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36"/>
        <v>7604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56"/>
        <v>0</v>
      </c>
      <c r="AK63" s="2">
        <f t="shared" si="57"/>
        <v>0</v>
      </c>
      <c r="AL63">
        <f t="shared" si="48"/>
        <v>1000000</v>
      </c>
      <c r="AM63" s="2">
        <f t="shared" si="39"/>
        <v>999613</v>
      </c>
      <c r="AN63">
        <f t="shared" si="49"/>
        <v>999613</v>
      </c>
      <c r="AO63" s="2">
        <f t="shared" si="40"/>
        <v>999528</v>
      </c>
      <c r="AP63">
        <f t="shared" si="41"/>
        <v>999528</v>
      </c>
      <c r="AQ63" s="2">
        <f t="shared" si="42"/>
        <v>999507</v>
      </c>
      <c r="AR63">
        <f t="shared" si="43"/>
        <v>999507</v>
      </c>
      <c r="AT63" s="2">
        <f t="shared" si="44"/>
        <v>999375</v>
      </c>
      <c r="AU63">
        <f t="shared" si="45"/>
        <v>999375</v>
      </c>
      <c r="AV63" s="2">
        <f t="shared" si="46"/>
        <v>999326</v>
      </c>
      <c r="AW63">
        <f t="shared" si="47"/>
        <v>999326</v>
      </c>
      <c r="BG63" s="127">
        <f t="shared" si="50"/>
        <v>0</v>
      </c>
      <c r="BH63" s="128"/>
      <c r="BI63" s="5">
        <f t="shared" si="58"/>
        <v>0</v>
      </c>
      <c r="BJ63" s="5">
        <f t="shared" si="59"/>
        <v>0</v>
      </c>
      <c r="BK63" s="5">
        <f t="shared" si="53"/>
        <v>0</v>
      </c>
      <c r="BN63" s="5">
        <f t="shared" si="54"/>
        <v>0</v>
      </c>
      <c r="BW63" s="5">
        <f t="shared" si="55"/>
        <v>0</v>
      </c>
    </row>
    <row r="64" spans="26:75" ht="15" customHeight="1" x14ac:dyDescent="0.25">
      <c r="AJ64">
        <f t="shared" si="56"/>
        <v>0</v>
      </c>
      <c r="AK64" s="2">
        <f t="shared" si="57"/>
        <v>0</v>
      </c>
      <c r="AL64">
        <f t="shared" si="48"/>
        <v>1000000</v>
      </c>
      <c r="AM64" s="2">
        <f t="shared" si="39"/>
        <v>999613</v>
      </c>
      <c r="AN64">
        <f t="shared" si="49"/>
        <v>999613</v>
      </c>
      <c r="AO64" s="2">
        <f t="shared" si="40"/>
        <v>999528</v>
      </c>
      <c r="AP64">
        <f t="shared" si="41"/>
        <v>999528</v>
      </c>
      <c r="AQ64" s="2">
        <f t="shared" si="42"/>
        <v>999507</v>
      </c>
      <c r="AR64">
        <f t="shared" si="43"/>
        <v>999507</v>
      </c>
      <c r="AT64" s="2">
        <f t="shared" si="44"/>
        <v>999375</v>
      </c>
      <c r="AU64">
        <f t="shared" si="45"/>
        <v>999375</v>
      </c>
      <c r="AV64" s="2">
        <f t="shared" si="46"/>
        <v>999326</v>
      </c>
      <c r="AW64">
        <f t="shared" si="47"/>
        <v>999326</v>
      </c>
      <c r="BG64" s="127">
        <f t="shared" si="50"/>
        <v>0</v>
      </c>
      <c r="BH64" s="128"/>
      <c r="BI64" s="5">
        <f t="shared" si="58"/>
        <v>0</v>
      </c>
      <c r="BJ64" s="5">
        <f t="shared" si="59"/>
        <v>0</v>
      </c>
      <c r="BK64" s="5">
        <f t="shared" si="53"/>
        <v>0</v>
      </c>
      <c r="BN64" s="5">
        <f t="shared" si="54"/>
        <v>0</v>
      </c>
      <c r="BW64" s="5">
        <f t="shared" si="55"/>
        <v>0</v>
      </c>
    </row>
    <row r="65" spans="36:75" x14ac:dyDescent="0.25">
      <c r="AJ65">
        <f t="shared" si="56"/>
        <v>0</v>
      </c>
      <c r="AK65" s="2">
        <f t="shared" si="57"/>
        <v>0</v>
      </c>
      <c r="AL65">
        <f t="shared" si="48"/>
        <v>1000000</v>
      </c>
      <c r="AM65" s="2">
        <f t="shared" si="39"/>
        <v>999613</v>
      </c>
      <c r="AN65">
        <f t="shared" si="49"/>
        <v>999613</v>
      </c>
      <c r="AO65" s="2">
        <f t="shared" si="40"/>
        <v>999528</v>
      </c>
      <c r="AP65">
        <f t="shared" si="41"/>
        <v>999528</v>
      </c>
      <c r="AQ65" s="2">
        <f t="shared" si="42"/>
        <v>999507</v>
      </c>
      <c r="AR65">
        <f t="shared" si="43"/>
        <v>999507</v>
      </c>
      <c r="AT65" s="2">
        <f t="shared" si="44"/>
        <v>999375</v>
      </c>
      <c r="AU65">
        <f t="shared" si="45"/>
        <v>999375</v>
      </c>
      <c r="AV65" s="2">
        <f t="shared" si="46"/>
        <v>999326</v>
      </c>
      <c r="AW65">
        <f t="shared" si="47"/>
        <v>999326</v>
      </c>
      <c r="BG65" s="127">
        <f t="shared" si="50"/>
        <v>0</v>
      </c>
      <c r="BH65" s="128"/>
      <c r="BI65" s="5">
        <f t="shared" si="58"/>
        <v>0</v>
      </c>
      <c r="BJ65" s="5">
        <f t="shared" si="59"/>
        <v>0</v>
      </c>
      <c r="BK65" s="5">
        <f t="shared" si="53"/>
        <v>0</v>
      </c>
      <c r="BN65" s="5">
        <f t="shared" si="54"/>
        <v>0</v>
      </c>
      <c r="BW65" s="5">
        <f t="shared" si="55"/>
        <v>0</v>
      </c>
    </row>
    <row r="66" spans="36:75" ht="14.25" customHeight="1" x14ac:dyDescent="0.25">
      <c r="AJ66">
        <f t="shared" si="56"/>
        <v>0</v>
      </c>
      <c r="AK66" s="2">
        <f t="shared" si="57"/>
        <v>0</v>
      </c>
      <c r="AL66">
        <f t="shared" si="48"/>
        <v>1000000</v>
      </c>
      <c r="AM66" s="2">
        <f t="shared" si="39"/>
        <v>999613</v>
      </c>
      <c r="AN66">
        <f t="shared" si="49"/>
        <v>999613</v>
      </c>
      <c r="AO66" s="2">
        <f t="shared" si="40"/>
        <v>999528</v>
      </c>
      <c r="AP66">
        <f t="shared" si="41"/>
        <v>999528</v>
      </c>
      <c r="AQ66" s="2">
        <f t="shared" si="42"/>
        <v>999507</v>
      </c>
      <c r="AR66">
        <f t="shared" si="43"/>
        <v>999507</v>
      </c>
      <c r="AT66" s="2">
        <f t="shared" si="44"/>
        <v>999375</v>
      </c>
      <c r="AU66">
        <f t="shared" si="45"/>
        <v>999375</v>
      </c>
      <c r="AV66" s="2">
        <f t="shared" si="46"/>
        <v>999326</v>
      </c>
      <c r="AW66">
        <f t="shared" si="47"/>
        <v>999326</v>
      </c>
      <c r="BG66" s="127">
        <f t="shared" si="50"/>
        <v>0</v>
      </c>
      <c r="BH66" s="128"/>
      <c r="BI66" s="5">
        <f t="shared" si="58"/>
        <v>0</v>
      </c>
      <c r="BJ66" s="5">
        <f t="shared" si="59"/>
        <v>0</v>
      </c>
      <c r="BK66" s="5">
        <f t="shared" si="53"/>
        <v>0</v>
      </c>
      <c r="BN66" s="5">
        <f t="shared" si="54"/>
        <v>0</v>
      </c>
      <c r="BW66" s="5">
        <f t="shared" si="55"/>
        <v>0</v>
      </c>
    </row>
    <row r="67" spans="36:75" x14ac:dyDescent="0.25">
      <c r="AJ67">
        <f t="shared" si="56"/>
        <v>0</v>
      </c>
      <c r="AK67" s="2">
        <f t="shared" si="57"/>
        <v>0</v>
      </c>
      <c r="AL67">
        <f t="shared" si="48"/>
        <v>1000000</v>
      </c>
      <c r="AM67" s="2">
        <f t="shared" si="39"/>
        <v>999613</v>
      </c>
      <c r="AN67">
        <f t="shared" si="49"/>
        <v>999613</v>
      </c>
      <c r="AO67" s="2">
        <f t="shared" si="40"/>
        <v>999528</v>
      </c>
      <c r="AP67">
        <f t="shared" si="41"/>
        <v>999528</v>
      </c>
      <c r="AQ67" s="2">
        <f t="shared" si="42"/>
        <v>999507</v>
      </c>
      <c r="AR67">
        <f t="shared" si="43"/>
        <v>999507</v>
      </c>
      <c r="AT67" s="2">
        <f t="shared" si="44"/>
        <v>999375</v>
      </c>
      <c r="AU67">
        <f t="shared" si="45"/>
        <v>999375</v>
      </c>
      <c r="AV67" s="2">
        <f t="shared" si="46"/>
        <v>999326</v>
      </c>
      <c r="AW67">
        <f t="shared" si="47"/>
        <v>999326</v>
      </c>
      <c r="BG67" s="127">
        <f t="shared" si="50"/>
        <v>0</v>
      </c>
      <c r="BH67" s="128"/>
      <c r="BI67" s="5">
        <f t="shared" si="58"/>
        <v>0</v>
      </c>
      <c r="BJ67" s="5">
        <f t="shared" si="59"/>
        <v>0</v>
      </c>
      <c r="BK67" s="5">
        <f t="shared" si="53"/>
        <v>0</v>
      </c>
      <c r="BN67" s="5">
        <f t="shared" si="54"/>
        <v>0</v>
      </c>
      <c r="BW67" s="5">
        <f t="shared" si="55"/>
        <v>0</v>
      </c>
    </row>
    <row r="68" spans="36:75" x14ac:dyDescent="0.25">
      <c r="BG68" s="129">
        <f t="shared" si="50"/>
        <v>0</v>
      </c>
      <c r="BH68" s="130"/>
      <c r="BI68" s="5">
        <f t="shared" si="58"/>
        <v>0</v>
      </c>
      <c r="BJ68" s="5">
        <f t="shared" si="59"/>
        <v>0</v>
      </c>
      <c r="BK68" s="5">
        <f t="shared" si="53"/>
        <v>0</v>
      </c>
      <c r="BN68" s="5">
        <f t="shared" si="54"/>
        <v>0</v>
      </c>
      <c r="BW68" s="5">
        <f t="shared" si="55"/>
        <v>0</v>
      </c>
    </row>
    <row r="69" spans="36:75" ht="12.75" customHeight="1" x14ac:dyDescent="0.25">
      <c r="BG69" t="s">
        <v>219</v>
      </c>
      <c r="BI69" s="5">
        <f>BG26</f>
        <v>1.9999999999996021E-2</v>
      </c>
      <c r="BJ69" s="5">
        <f>CE28</f>
        <v>0</v>
      </c>
      <c r="BK69" s="5">
        <f>BI69+BJ69</f>
        <v>1.9999999999996021E-2</v>
      </c>
      <c r="BW69" s="5">
        <f>SUM(BW49:BW68)</f>
        <v>0</v>
      </c>
    </row>
    <row r="70" spans="36:75" x14ac:dyDescent="0.25">
      <c r="BK70" s="5">
        <f>BG27+CE29</f>
        <v>68</v>
      </c>
    </row>
    <row r="82" spans="41:46" x14ac:dyDescent="0.25">
      <c r="AO82" s="5">
        <f>IF(AO20&lt;&gt;0,1,0)</f>
        <v>0</v>
      </c>
      <c r="AP82" s="5"/>
      <c r="AQ82" s="5">
        <f t="shared" ref="AQ82:AR88" si="60">IF(AQ20&lt;&gt;0,1,0)</f>
        <v>0</v>
      </c>
      <c r="AR82" s="19">
        <f t="shared" si="60"/>
        <v>0</v>
      </c>
      <c r="AS82" s="19"/>
      <c r="AT82" s="5">
        <f>SUM(AO82:AR82)</f>
        <v>0</v>
      </c>
    </row>
    <row r="83" spans="41:46" x14ac:dyDescent="0.25">
      <c r="AO83" s="5">
        <f t="shared" ref="AO83:AO88" si="61">IF(AO21&lt;&gt;0,1,0)</f>
        <v>0</v>
      </c>
      <c r="AP83" s="5"/>
      <c r="AQ83" s="5">
        <f t="shared" si="60"/>
        <v>0</v>
      </c>
      <c r="AR83" s="19">
        <f t="shared" si="60"/>
        <v>0</v>
      </c>
      <c r="AS83" s="19"/>
      <c r="AT83" s="5">
        <f t="shared" ref="AT83:AT88" si="62">SUM(AO83:AR83)</f>
        <v>0</v>
      </c>
    </row>
    <row r="84" spans="41:46" x14ac:dyDescent="0.25">
      <c r="AO84" s="5">
        <f t="shared" si="61"/>
        <v>0</v>
      </c>
      <c r="AP84" s="5"/>
      <c r="AQ84" s="5">
        <f t="shared" si="60"/>
        <v>0</v>
      </c>
      <c r="AR84" s="19">
        <f t="shared" si="60"/>
        <v>0</v>
      </c>
      <c r="AS84" s="19"/>
      <c r="AT84" s="5">
        <f t="shared" si="62"/>
        <v>0</v>
      </c>
    </row>
    <row r="85" spans="41:46" x14ac:dyDescent="0.25">
      <c r="AO85" s="5">
        <f t="shared" si="61"/>
        <v>0</v>
      </c>
      <c r="AP85" s="5"/>
      <c r="AQ85" s="5">
        <f t="shared" si="60"/>
        <v>0</v>
      </c>
      <c r="AR85" s="19">
        <f t="shared" si="60"/>
        <v>0</v>
      </c>
      <c r="AS85" s="19"/>
      <c r="AT85" s="5">
        <f t="shared" si="62"/>
        <v>0</v>
      </c>
    </row>
    <row r="86" spans="41:46" x14ac:dyDescent="0.25">
      <c r="AO86" s="5">
        <f t="shared" si="61"/>
        <v>0</v>
      </c>
      <c r="AP86" s="5"/>
      <c r="AQ86" s="5">
        <f t="shared" si="60"/>
        <v>0</v>
      </c>
      <c r="AR86" s="19">
        <f t="shared" si="60"/>
        <v>0</v>
      </c>
      <c r="AS86" s="19"/>
      <c r="AT86" s="5">
        <f t="shared" si="62"/>
        <v>0</v>
      </c>
    </row>
    <row r="87" spans="41:46" x14ac:dyDescent="0.25">
      <c r="AO87" s="5">
        <f t="shared" si="61"/>
        <v>0</v>
      </c>
      <c r="AP87" s="5"/>
      <c r="AQ87" s="5">
        <f t="shared" si="60"/>
        <v>0</v>
      </c>
      <c r="AR87" s="19">
        <f t="shared" si="60"/>
        <v>0</v>
      </c>
      <c r="AS87" s="19"/>
      <c r="AT87" s="5">
        <f t="shared" si="62"/>
        <v>0</v>
      </c>
    </row>
    <row r="88" spans="41:46" x14ac:dyDescent="0.25">
      <c r="AO88" s="5">
        <f t="shared" si="61"/>
        <v>0</v>
      </c>
      <c r="AP88" s="5"/>
      <c r="AQ88" s="5">
        <f t="shared" si="60"/>
        <v>0</v>
      </c>
      <c r="AR88" s="19">
        <f t="shared" si="60"/>
        <v>0</v>
      </c>
      <c r="AS88" s="19"/>
      <c r="AT88" s="5">
        <f t="shared" si="62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220</v>
      </c>
      <c r="DF210" s="231" t="s">
        <v>221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F11</f>
        <v>-68</v>
      </c>
      <c r="DF211" s="233">
        <f>G11</f>
        <v>1071</v>
      </c>
    </row>
    <row r="212" spans="105:110" ht="15.5" x14ac:dyDescent="0.35">
      <c r="DA212" s="232" t="str">
        <f t="shared" ref="DA212:DA230" si="63">IF(A12="Elected","E",IF(A12="Excluded","Excluded",""))&amp;IF(B12&gt;0,B12,"")</f>
        <v/>
      </c>
      <c r="DB212" s="232" t="str">
        <f t="shared" ref="DB212:DF227" si="64">C12</f>
        <v>FLYNN</v>
      </c>
      <c r="DC212" s="232" t="str">
        <f t="shared" si="64"/>
        <v>Sinn Féin</v>
      </c>
      <c r="DD212" s="233">
        <f t="shared" si="64"/>
        <v>493</v>
      </c>
      <c r="DE212" s="233">
        <f t="shared" si="64"/>
        <v>0.42</v>
      </c>
      <c r="DF212" s="233">
        <f t="shared" si="64"/>
        <v>493.42</v>
      </c>
    </row>
    <row r="213" spans="105:110" ht="15.5" x14ac:dyDescent="0.35">
      <c r="DA213" s="232" t="str">
        <f t="shared" si="63"/>
        <v/>
      </c>
      <c r="DB213" s="232" t="str">
        <f t="shared" si="64"/>
        <v>FRENCH</v>
      </c>
      <c r="DC213" s="232" t="str">
        <f t="shared" si="64"/>
        <v xml:space="preserve">SDLP </v>
      </c>
      <c r="DD213" s="233">
        <f t="shared" si="64"/>
        <v>472</v>
      </c>
      <c r="DE213" s="233">
        <f t="shared" si="64"/>
        <v>0.42</v>
      </c>
      <c r="DF213" s="233">
        <f t="shared" si="64"/>
        <v>472.42</v>
      </c>
    </row>
    <row r="214" spans="105:110" ht="15.5" x14ac:dyDescent="0.35">
      <c r="DA214" s="232" t="str">
        <f t="shared" si="63"/>
        <v>E</v>
      </c>
      <c r="DB214" s="232" t="str">
        <f t="shared" si="64"/>
        <v>GIVAN</v>
      </c>
      <c r="DC214" s="232" t="str">
        <f t="shared" si="64"/>
        <v>D.U.P.</v>
      </c>
      <c r="DD214" s="233">
        <f t="shared" si="64"/>
        <v>1038</v>
      </c>
      <c r="DE214" s="233">
        <f t="shared" si="64"/>
        <v>51.6</v>
      </c>
      <c r="DF214" s="233">
        <f t="shared" si="64"/>
        <v>1089.5999999999999</v>
      </c>
    </row>
    <row r="215" spans="105:110" ht="15.5" x14ac:dyDescent="0.35">
      <c r="DA215" s="232" t="str">
        <f t="shared" si="63"/>
        <v>E2</v>
      </c>
      <c r="DB215" s="232" t="str">
        <f t="shared" si="64"/>
        <v>GREHAN</v>
      </c>
      <c r="DC215" s="232" t="str">
        <f t="shared" si="64"/>
        <v>Alliance Party</v>
      </c>
      <c r="DD215" s="233">
        <f t="shared" si="64"/>
        <v>1111</v>
      </c>
      <c r="DE215" s="233">
        <f t="shared" si="64"/>
        <v>0</v>
      </c>
      <c r="DF215" s="233">
        <f t="shared" si="64"/>
        <v>1111</v>
      </c>
    </row>
    <row r="216" spans="105:110" ht="15.5" x14ac:dyDescent="0.35">
      <c r="DA216" s="232" t="str">
        <f t="shared" si="63"/>
        <v/>
      </c>
      <c r="DB216" s="232" t="str">
        <f t="shared" si="64"/>
        <v>KENNEDY</v>
      </c>
      <c r="DC216" s="232" t="str">
        <f t="shared" si="64"/>
        <v>Alliance Party</v>
      </c>
      <c r="DD216" s="233">
        <f t="shared" si="64"/>
        <v>674</v>
      </c>
      <c r="DE216" s="233">
        <f t="shared" si="64"/>
        <v>0.24</v>
      </c>
      <c r="DF216" s="233">
        <f t="shared" si="64"/>
        <v>674.24</v>
      </c>
    </row>
    <row r="217" spans="105:110" ht="15.5" x14ac:dyDescent="0.35">
      <c r="DA217" s="232" t="str">
        <f t="shared" si="63"/>
        <v/>
      </c>
      <c r="DB217" s="232" t="str">
        <f t="shared" si="64"/>
        <v>MCEVOY</v>
      </c>
      <c r="DC217" s="232" t="str">
        <f t="shared" si="64"/>
        <v xml:space="preserve">TUV </v>
      </c>
      <c r="DD217" s="233">
        <f t="shared" si="64"/>
        <v>387</v>
      </c>
      <c r="DE217" s="233">
        <f t="shared" si="64"/>
        <v>1.44</v>
      </c>
      <c r="DF217" s="233">
        <f t="shared" si="64"/>
        <v>388.44</v>
      </c>
    </row>
    <row r="218" spans="105:110" ht="15.5" x14ac:dyDescent="0.35">
      <c r="DA218" s="232" t="str">
        <f t="shared" si="63"/>
        <v/>
      </c>
      <c r="DB218" s="232" t="str">
        <f t="shared" si="64"/>
        <v>MITCHELL</v>
      </c>
      <c r="DC218" s="232" t="str">
        <f t="shared" si="64"/>
        <v>UUP</v>
      </c>
      <c r="DD218" s="233">
        <f t="shared" si="64"/>
        <v>870</v>
      </c>
      <c r="DE218" s="233">
        <f t="shared" si="64"/>
        <v>1.44</v>
      </c>
      <c r="DF218" s="233">
        <f t="shared" si="64"/>
        <v>871.44</v>
      </c>
    </row>
    <row r="219" spans="105:110" ht="15.5" x14ac:dyDescent="0.35">
      <c r="DA219" s="232" t="str">
        <f t="shared" si="63"/>
        <v/>
      </c>
      <c r="DB219" s="232" t="str">
        <f t="shared" si="64"/>
        <v>PALMER</v>
      </c>
      <c r="DC219" s="232" t="str">
        <f t="shared" si="64"/>
        <v>UUP</v>
      </c>
      <c r="DD219" s="233">
        <f t="shared" si="64"/>
        <v>625</v>
      </c>
      <c r="DE219" s="233">
        <f t="shared" si="64"/>
        <v>3.42</v>
      </c>
      <c r="DF219" s="233">
        <f t="shared" si="64"/>
        <v>628.41999999999996</v>
      </c>
    </row>
    <row r="220" spans="105:110" ht="15.5" x14ac:dyDescent="0.35">
      <c r="DA220" s="232" t="str">
        <f t="shared" si="63"/>
        <v/>
      </c>
      <c r="DB220" s="232" t="str">
        <f t="shared" si="64"/>
        <v>PORTER</v>
      </c>
      <c r="DC220" s="232" t="str">
        <f t="shared" si="64"/>
        <v>D.U.P.</v>
      </c>
      <c r="DD220" s="233">
        <f t="shared" si="64"/>
        <v>687</v>
      </c>
      <c r="DE220" s="233">
        <f t="shared" si="64"/>
        <v>9</v>
      </c>
      <c r="DF220" s="233">
        <f t="shared" si="64"/>
        <v>696</v>
      </c>
    </row>
    <row r="221" spans="105:110" ht="15.5" x14ac:dyDescent="0.35">
      <c r="DA221" s="232" t="str">
        <f t="shared" si="63"/>
        <v/>
      </c>
      <c r="DB221" s="232">
        <f t="shared" si="64"/>
        <v>0</v>
      </c>
      <c r="DC221" s="232">
        <f t="shared" si="64"/>
        <v>0</v>
      </c>
      <c r="DD221" s="233">
        <f t="shared" si="64"/>
        <v>0</v>
      </c>
      <c r="DE221" s="233">
        <f t="shared" si="64"/>
        <v>0</v>
      </c>
      <c r="DF221" s="233">
        <f t="shared" si="64"/>
        <v>0</v>
      </c>
    </row>
    <row r="222" spans="105:110" ht="15.5" x14ac:dyDescent="0.35">
      <c r="DA222" s="232" t="str">
        <f t="shared" si="63"/>
        <v/>
      </c>
      <c r="DB222" s="232">
        <f t="shared" si="64"/>
        <v>0</v>
      </c>
      <c r="DC222" s="232">
        <f t="shared" si="64"/>
        <v>0</v>
      </c>
      <c r="DD222" s="233">
        <f t="shared" si="64"/>
        <v>0</v>
      </c>
      <c r="DE222" s="244">
        <f t="shared" si="64"/>
        <v>0</v>
      </c>
      <c r="DF222" s="244">
        <f t="shared" si="64"/>
        <v>0</v>
      </c>
    </row>
    <row r="223" spans="105:110" ht="15.5" x14ac:dyDescent="0.35">
      <c r="DA223" s="232" t="str">
        <f t="shared" si="63"/>
        <v/>
      </c>
      <c r="DB223" s="232">
        <f t="shared" si="64"/>
        <v>0</v>
      </c>
      <c r="DC223" s="232">
        <f t="shared" si="64"/>
        <v>0</v>
      </c>
      <c r="DD223" s="233">
        <f t="shared" si="64"/>
        <v>0</v>
      </c>
      <c r="DE223" s="244">
        <f t="shared" si="64"/>
        <v>0</v>
      </c>
      <c r="DF223" s="244">
        <f t="shared" si="64"/>
        <v>0</v>
      </c>
    </row>
    <row r="224" spans="105:110" ht="15.5" x14ac:dyDescent="0.35">
      <c r="DA224" s="232" t="str">
        <f t="shared" si="63"/>
        <v/>
      </c>
      <c r="DB224" s="232">
        <f t="shared" si="64"/>
        <v>0</v>
      </c>
      <c r="DC224" s="232">
        <f t="shared" si="64"/>
        <v>0</v>
      </c>
      <c r="DD224" s="233">
        <f t="shared" si="64"/>
        <v>0</v>
      </c>
      <c r="DE224" s="244">
        <f t="shared" si="64"/>
        <v>0</v>
      </c>
      <c r="DF224" s="244">
        <f t="shared" si="64"/>
        <v>0</v>
      </c>
    </row>
    <row r="225" spans="105:110" ht="15.5" x14ac:dyDescent="0.35">
      <c r="DA225" s="232" t="str">
        <f t="shared" si="63"/>
        <v/>
      </c>
      <c r="DB225" s="232">
        <f t="shared" si="64"/>
        <v>0</v>
      </c>
      <c r="DC225" s="232">
        <f t="shared" si="64"/>
        <v>0</v>
      </c>
      <c r="DD225" s="233">
        <f t="shared" si="64"/>
        <v>0</v>
      </c>
      <c r="DE225" s="244">
        <f t="shared" si="64"/>
        <v>0</v>
      </c>
      <c r="DF225" s="244">
        <f t="shared" si="64"/>
        <v>0</v>
      </c>
    </row>
    <row r="226" spans="105:110" ht="15.5" x14ac:dyDescent="0.35">
      <c r="DA226" s="232" t="str">
        <f t="shared" si="63"/>
        <v/>
      </c>
      <c r="DB226" s="232">
        <f t="shared" si="64"/>
        <v>0</v>
      </c>
      <c r="DC226" s="232">
        <f t="shared" si="64"/>
        <v>0</v>
      </c>
      <c r="DD226" s="233">
        <f t="shared" si="64"/>
        <v>0</v>
      </c>
      <c r="DE226" s="244">
        <f t="shared" si="64"/>
        <v>0</v>
      </c>
      <c r="DF226" s="244">
        <f t="shared" si="64"/>
        <v>0</v>
      </c>
    </row>
    <row r="227" spans="105:110" ht="15.5" x14ac:dyDescent="0.35">
      <c r="DA227" s="232" t="str">
        <f t="shared" si="63"/>
        <v/>
      </c>
      <c r="DB227" s="232">
        <f t="shared" si="64"/>
        <v>0</v>
      </c>
      <c r="DC227" s="232">
        <f t="shared" si="64"/>
        <v>0</v>
      </c>
      <c r="DD227" s="233">
        <f t="shared" si="64"/>
        <v>0</v>
      </c>
      <c r="DE227" s="244">
        <f t="shared" si="64"/>
        <v>0</v>
      </c>
      <c r="DF227" s="244">
        <f t="shared" si="64"/>
        <v>0</v>
      </c>
    </row>
    <row r="228" spans="105:110" ht="15.5" x14ac:dyDescent="0.35">
      <c r="DA228" s="232" t="str">
        <f t="shared" si="63"/>
        <v/>
      </c>
      <c r="DB228" s="232">
        <f t="shared" ref="DB228:DF230" si="65">C28</f>
        <v>0</v>
      </c>
      <c r="DC228" s="232">
        <f t="shared" si="65"/>
        <v>0</v>
      </c>
      <c r="DD228" s="233">
        <f t="shared" si="65"/>
        <v>0</v>
      </c>
      <c r="DE228" s="244">
        <f t="shared" si="65"/>
        <v>0</v>
      </c>
      <c r="DF228" s="244">
        <f t="shared" si="65"/>
        <v>0</v>
      </c>
    </row>
    <row r="229" spans="105:110" ht="15.5" x14ac:dyDescent="0.35">
      <c r="DA229" s="232" t="str">
        <f t="shared" si="63"/>
        <v/>
      </c>
      <c r="DB229" s="232">
        <f t="shared" si="65"/>
        <v>0</v>
      </c>
      <c r="DC229" s="232">
        <f t="shared" si="65"/>
        <v>0</v>
      </c>
      <c r="DD229" s="233">
        <f t="shared" si="65"/>
        <v>0</v>
      </c>
      <c r="DE229" s="244">
        <f t="shared" si="65"/>
        <v>0</v>
      </c>
      <c r="DF229" s="244">
        <f t="shared" si="65"/>
        <v>0</v>
      </c>
    </row>
    <row r="230" spans="105:110" ht="15.5" x14ac:dyDescent="0.35">
      <c r="DA230" s="232" t="str">
        <f t="shared" si="63"/>
        <v/>
      </c>
      <c r="DB230" s="232">
        <f t="shared" si="65"/>
        <v>0</v>
      </c>
      <c r="DC230" s="232">
        <f t="shared" si="65"/>
        <v>0</v>
      </c>
      <c r="DD230" s="233">
        <f t="shared" si="65"/>
        <v>0</v>
      </c>
      <c r="DE230" s="244">
        <f t="shared" si="65"/>
        <v>0</v>
      </c>
      <c r="DF230" s="244">
        <f t="shared" si="65"/>
        <v>0</v>
      </c>
    </row>
    <row r="231" spans="105:110" ht="15.5" x14ac:dyDescent="0.35">
      <c r="DC231" s="234" t="s">
        <v>123</v>
      </c>
      <c r="DD231" s="234"/>
      <c r="DE231" s="232">
        <f>F31</f>
        <v>1.9999999999996021E-2</v>
      </c>
      <c r="DF231" s="232">
        <f>G31</f>
        <v>1.9999999999996021E-2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>G32</f>
        <v>7496</v>
      </c>
    </row>
  </sheetData>
  <sheetProtection sheet="1" objects="1" scenarios="1"/>
  <protectedRanges>
    <protectedRange sqref="BH5:BH24" name="Range22"/>
    <protectedRange sqref="CD6" name="Range20"/>
    <protectedRange sqref="CC8:CC28" name="Range19"/>
    <protectedRange sqref="CB6" name="Range18"/>
    <protectedRange sqref="CA8:CA28" name="Range17"/>
    <protectedRange sqref="BZ6" name="Range16"/>
    <protectedRange sqref="BY8:BY28" name="Range15"/>
    <protectedRange sqref="BX6" name="Range14"/>
    <protectedRange sqref="BW8:BW28" name="Range13"/>
    <protectedRange sqref="BU8:BU28" name="Range12"/>
    <protectedRange sqref="BS8:BS28" name="Range11"/>
    <protectedRange sqref="BP8:BP27" name="Range10"/>
    <protectedRange sqref="BT3" name="Range9"/>
    <protectedRange sqref="BF26" name="Range8"/>
    <protectedRange sqref="BF5:BF24" name="Range7"/>
    <protectedRange sqref="BC13:BC14" name="Range6"/>
    <protectedRange sqref="BC10" name="Range5"/>
    <protectedRange sqref="G34:G37" name="Range2"/>
    <protectedRange sqref="E34:E37" name="Range1"/>
    <protectedRange sqref="BT3:BZ3" name="Range21"/>
    <protectedRange sqref="AQ5" name="Range3_1"/>
  </protectedRanges>
  <mergeCells count="86">
    <mergeCell ref="AM34:AR34"/>
    <mergeCell ref="BF30:BG32"/>
    <mergeCell ref="AJ25:AK25"/>
    <mergeCell ref="AJ23:AK23"/>
    <mergeCell ref="AO24:AP24"/>
    <mergeCell ref="AO25:AP25"/>
    <mergeCell ref="AO23:AP23"/>
    <mergeCell ref="AL28:AQ29"/>
    <mergeCell ref="AL31:AQ32"/>
    <mergeCell ref="E3:F3"/>
    <mergeCell ref="AJ22:AK22"/>
    <mergeCell ref="AZ22:AZ23"/>
    <mergeCell ref="AJ24:AK24"/>
    <mergeCell ref="Z3:AF3"/>
    <mergeCell ref="E4:F4"/>
    <mergeCell ref="AM13:AM17"/>
    <mergeCell ref="AO13:AO17"/>
    <mergeCell ref="AL3:AQ3"/>
    <mergeCell ref="L6:M6"/>
    <mergeCell ref="J6:K6"/>
    <mergeCell ref="J7:K7"/>
    <mergeCell ref="F6:G6"/>
    <mergeCell ref="F8:G8"/>
    <mergeCell ref="H8:I8"/>
    <mergeCell ref="J8:K8"/>
    <mergeCell ref="K1:L1"/>
    <mergeCell ref="H3:I3"/>
    <mergeCell ref="O4:S4"/>
    <mergeCell ref="O3:S3"/>
    <mergeCell ref="H4:I4"/>
    <mergeCell ref="O2:S2"/>
    <mergeCell ref="CB2:CE2"/>
    <mergeCell ref="BI3:BK3"/>
    <mergeCell ref="BT3:BZ3"/>
    <mergeCell ref="BP5:BP7"/>
    <mergeCell ref="Z6:AF7"/>
    <mergeCell ref="H6:I6"/>
    <mergeCell ref="N6:O6"/>
    <mergeCell ref="N8:O8"/>
    <mergeCell ref="N9:O9"/>
    <mergeCell ref="Z2:AF2"/>
    <mergeCell ref="Z4:AF4"/>
    <mergeCell ref="P6:Q6"/>
    <mergeCell ref="R8:S8"/>
    <mergeCell ref="R7:S7"/>
    <mergeCell ref="R6:S6"/>
    <mergeCell ref="P8:Q8"/>
    <mergeCell ref="P7:Q7"/>
    <mergeCell ref="P9:Q9"/>
    <mergeCell ref="H7:I7"/>
    <mergeCell ref="N7:O7"/>
    <mergeCell ref="R9:S9"/>
    <mergeCell ref="F7:G7"/>
    <mergeCell ref="F9:G9"/>
    <mergeCell ref="H9:I9"/>
    <mergeCell ref="J9:K9"/>
    <mergeCell ref="L9:M9"/>
    <mergeCell ref="L7:M7"/>
    <mergeCell ref="L8:M8"/>
    <mergeCell ref="AO21:AP21"/>
    <mergeCell ref="AO22:AP22"/>
    <mergeCell ref="V8:W8"/>
    <mergeCell ref="V9:W9"/>
    <mergeCell ref="AJ20:AK20"/>
    <mergeCell ref="AJ21:AK21"/>
    <mergeCell ref="AP13:AP17"/>
    <mergeCell ref="AK9:AP10"/>
    <mergeCell ref="AL13:AL17"/>
    <mergeCell ref="AN13:AN19"/>
    <mergeCell ref="U4:W4"/>
    <mergeCell ref="AQ9:AR10"/>
    <mergeCell ref="AQ6:AR7"/>
    <mergeCell ref="V6:W6"/>
    <mergeCell ref="AO20:AP20"/>
    <mergeCell ref="AK6:AP7"/>
    <mergeCell ref="AQ13:AQ17"/>
    <mergeCell ref="V7:W7"/>
    <mergeCell ref="T9:U9"/>
    <mergeCell ref="T6:U6"/>
    <mergeCell ref="T7:U7"/>
    <mergeCell ref="T8:U8"/>
    <mergeCell ref="DE209:DF209"/>
    <mergeCell ref="BI30:BK31"/>
    <mergeCell ref="CB31:CE32"/>
    <mergeCell ref="BP30:BP32"/>
    <mergeCell ref="BX30:BY32"/>
  </mergeCells>
  <phoneticPr fontId="0" type="noConversion"/>
  <conditionalFormatting sqref="BF30:BG31">
    <cfRule type="cellIs" dxfId="150" priority="1" stopIfTrue="1" operator="equal">
      <formula>"NONE"</formula>
    </cfRule>
    <cfRule type="cellIs" dxfId="149" priority="2" stopIfTrue="1" operator="notEqual">
      <formula>"NONE"</formula>
    </cfRule>
  </conditionalFormatting>
  <conditionalFormatting sqref="BX30">
    <cfRule type="cellIs" dxfId="148" priority="3" stopIfTrue="1" operator="equal">
      <formula>"Calculations OK"</formula>
    </cfRule>
    <cfRule type="cellIs" dxfId="147" priority="4" stopIfTrue="1" operator="equal">
      <formula>"Check Count for Error"</formula>
    </cfRule>
  </conditionalFormatting>
  <conditionalFormatting sqref="G33 V4:W4">
    <cfRule type="cellIs" dxfId="146" priority="5" stopIfTrue="1" operator="equal">
      <formula>"Totals Correct"</formula>
    </cfRule>
    <cfRule type="cellIs" dxfId="145" priority="6" stopIfTrue="1" operator="equal">
      <formula>"ERROR"</formula>
    </cfRule>
  </conditionalFormatting>
  <conditionalFormatting sqref="U4">
    <cfRule type="cellIs" dxfId="144" priority="7" stopIfTrue="1" operator="equal">
      <formula>"OK TO MOVE TO NEXT STAGE"</formula>
    </cfRule>
    <cfRule type="cellIs" dxfId="143" priority="8" stopIfTrue="1" operator="equal">
      <formula>"DO NOT MOVE TO NEXT STAGE"</formula>
    </cfRule>
  </conditionalFormatting>
  <conditionalFormatting sqref="BP30:BP32">
    <cfRule type="cellIs" dxfId="142" priority="9" stopIfTrue="1" operator="equal">
      <formula>"ERROR"</formula>
    </cfRule>
  </conditionalFormatting>
  <conditionalFormatting sqref="AL3">
    <cfRule type="cellIs" dxfId="141" priority="10" stopIfTrue="1" operator="notEqual">
      <formula>0</formula>
    </cfRule>
  </conditionalFormatting>
  <hyperlinks>
    <hyperlink ref="AL28" location="'Stage 2'!BI1" display="MOVE TO TRANSFER OF SURPLUS VOTES FORM"/>
    <hyperlink ref="AL31" location="'Stage 2'!CC1" display="MOVE TO EXCLUDE CANDIDATE FORM"/>
    <hyperlink ref="CB31" location="'Stage 2'!A1" display="HOME TO OVERVIEW OF STAGE 2"/>
    <hyperlink ref="CB2" location="'Stage 2'!AQ5" display="MOVE TO NEXT FORM"/>
    <hyperlink ref="CB2:CE2" location="'Stage 2'!Y1:AR1" display="BACK to DECISION FORM"/>
    <hyperlink ref="BI3" location="'Stage 2'!AQ5" display="MOVE TO NEXT FORM"/>
    <hyperlink ref="BI3:BK3" location="'Stage 2'!Y1:AR1" display="BACK to DECISION FORM"/>
    <hyperlink ref="Z6:AG7" location="'Overview Stage 1'!A1" display="BACK to Overview of STAGE 1"/>
    <hyperlink ref="AL28:AQ29" location="'Stage 2'!AY1:BK1" display="MOVE TO TRANSFER OF SURPLUS VOTES FORM"/>
    <hyperlink ref="BI30:BK31" location="'Stage 2'!A1" display="OVERVIEW OF STAGE 2"/>
    <hyperlink ref="BI30" location="'Stage 2'!A1" display="HOME TO OVERVIEW OF STAGE 2"/>
    <hyperlink ref="CB31:CE32" location="'Stage 2'!A1" display="FORWARD to OVERVIEW OF STAGE 2"/>
    <hyperlink ref="O4" location="'Stage 3'!A1" display="MOVE TO STAGE 3"/>
    <hyperlink ref="O2" location="'Stage 3'!A1" display="MOVE TO STAGE 3"/>
    <hyperlink ref="O2:S2" location="'Stage 2'!Y1:AR1" display="BACK to DECISION FORM Stage 2"/>
    <hyperlink ref="O4:S4" location="'Stage 3'!Y1:AR1" display="FORWARD TO STAGE 3"/>
    <hyperlink ref="AL31:AQ32" location="'Stage 2'!BN1:CE1" display="MOVE TO EXCLUDE CANDIDATE FORM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DF232"/>
  <sheetViews>
    <sheetView showGridLines="0" showZeros="0" topLeftCell="A3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6.54296875" customWidth="1"/>
    <col min="25" max="25" width="4.4531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" customWidth="1"/>
    <col min="43" max="43" width="11.36328125" customWidth="1"/>
    <col min="44" max="44" width="16.36328125" customWidth="1"/>
    <col min="45" max="45" width="210.08984375" customWidth="1"/>
    <col min="50" max="50" width="219.54296875" customWidth="1"/>
    <col min="51" max="51" width="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3" customWidth="1"/>
    <col min="67" max="67" width="10.453125" customWidth="1"/>
    <col min="68" max="68" width="8.08984375" customWidth="1"/>
    <col min="69" max="69" width="1.906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104</v>
      </c>
      <c r="J1" s="85" t="s">
        <v>37</v>
      </c>
      <c r="K1" s="319">
        <f>'Basic Input'!C2</f>
        <v>45064</v>
      </c>
      <c r="L1" s="319"/>
      <c r="Z1" s="10" t="s">
        <v>222</v>
      </c>
      <c r="AQ1" s="33"/>
      <c r="AZ1" s="10" t="s">
        <v>126</v>
      </c>
      <c r="BE1" s="34" t="str">
        <f>IF(AT5="T","COMPLETE THIS FORM","YOU HAVE NOT SELECTED TO COMPLETE THIS FORM")</f>
        <v>YOU HAVE NOT SELECTED TO COMPLETE THIS FORM</v>
      </c>
      <c r="BR1" s="10" t="s">
        <v>127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223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58.599999999999909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R2" s="10" t="s">
        <v>104</v>
      </c>
      <c r="CB2" s="345" t="s">
        <v>131</v>
      </c>
      <c r="CC2" s="346"/>
      <c r="CD2" s="346"/>
      <c r="CE2" s="347"/>
    </row>
    <row r="3" spans="1:105" ht="22.5" customHeight="1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23"/>
      <c r="P3" s="323"/>
      <c r="Q3" s="323"/>
      <c r="R3" s="323"/>
      <c r="S3" s="323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40</v>
      </c>
      <c r="AJ3" s="163"/>
      <c r="AK3" s="163"/>
      <c r="AL3" s="352" t="str">
        <f>IF(AQ5="n","MOVE TO EXCLUDE CANDIDATE FORM",IF(AQ5="y","MOVE TO TRANSFER OF SURPLUS VOTES FORM",0))</f>
        <v>MOVE TO EXCLUDE CANDIDATE FORM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R3" s="81" t="s">
        <v>133</v>
      </c>
      <c r="BS3" s="82"/>
      <c r="BT3" s="348" t="s">
        <v>224</v>
      </c>
      <c r="BU3" s="349"/>
      <c r="BV3" s="349"/>
      <c r="BW3" s="349"/>
      <c r="BX3" s="349"/>
      <c r="BY3" s="349"/>
      <c r="BZ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225</v>
      </c>
      <c r="P4" s="346"/>
      <c r="Q4" s="346"/>
      <c r="R4" s="346"/>
      <c r="S4" s="347"/>
      <c r="U4" s="311" t="str">
        <f>IF(I33="ERROR","DO NOT MOVE TO NEXT STAGE","OK TO MOVE TO NEXT STAGE")</f>
        <v>OK TO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3.2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 t="s">
        <v>226</v>
      </c>
      <c r="AT5" s="7" t="str">
        <f>IF(AQ5=0,0,IF(AQ5="Y","T","E"))</f>
        <v>E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IF(C11=0,0,IF(G11=0,"Excluded",0))</f>
        <v>0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27" t="s">
        <v>227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Exclude</v>
      </c>
      <c r="AR6" s="302"/>
      <c r="AS6" s="181"/>
      <c r="AT6" s="91"/>
      <c r="AU6" s="91"/>
      <c r="AW6" s="33"/>
      <c r="AX6" s="33"/>
      <c r="AZ6" s="36" t="s">
        <v>104</v>
      </c>
      <c r="BA6" s="245"/>
      <c r="BE6" s="61" t="str">
        <f>'Verification of Boxes'!J11</f>
        <v>FLYNN</v>
      </c>
      <c r="BF6" s="64"/>
      <c r="BG6" s="100">
        <f t="shared" si="0"/>
        <v>0</v>
      </c>
      <c r="BH6" s="150"/>
      <c r="BI6" s="5">
        <f t="shared" ref="BI6:BI24" si="1">IF(A12&lt;&gt;0,A12,0)</f>
        <v>0</v>
      </c>
      <c r="BJ6" s="5">
        <f t="shared" ref="BJ6:BJ24" si="2">IF(C12=0,0,IF(G12=0,"Excluded",0))</f>
        <v>0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>
        <v>0.06</v>
      </c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411</v>
      </c>
    </row>
    <row r="7" spans="1:105" ht="15" customHeight="1" thickBot="1" x14ac:dyDescent="0.3">
      <c r="D7" s="25"/>
      <c r="E7" s="22"/>
      <c r="F7" s="309" t="str">
        <f>'Stage 2'!F7:G7</f>
        <v>Transfer</v>
      </c>
      <c r="G7" s="310"/>
      <c r="H7" s="361" t="str">
        <f>IF($AT5=0,0,IF($AT5="T",$AZ7,$BR4))</f>
        <v>Exclude</v>
      </c>
      <c r="I7" s="362"/>
      <c r="J7" s="309"/>
      <c r="K7" s="310"/>
      <c r="L7" s="309"/>
      <c r="M7" s="310"/>
      <c r="N7" s="309"/>
      <c r="O7" s="310"/>
      <c r="P7" s="309"/>
      <c r="Q7" s="310"/>
      <c r="R7" s="309"/>
      <c r="S7" s="310"/>
      <c r="T7" s="309"/>
      <c r="U7" s="310"/>
      <c r="V7" s="309"/>
      <c r="W7" s="310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/>
      <c r="BG7" s="100">
        <f t="shared" si="0"/>
        <v>0</v>
      </c>
      <c r="BH7" s="150"/>
      <c r="BI7" s="5">
        <f t="shared" si="1"/>
        <v>0</v>
      </c>
      <c r="BJ7" s="5">
        <f t="shared" si="2"/>
        <v>0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09" t="str">
        <f>'Stage 2'!F8:G8</f>
        <v>EWING</v>
      </c>
      <c r="G8" s="310"/>
      <c r="H8" s="359" t="str">
        <f>IF($H7="Transfer",$BA8,$BT3)</f>
        <v xml:space="preserve"> MCEVOY</v>
      </c>
      <c r="I8" s="360"/>
      <c r="J8" s="303"/>
      <c r="K8" s="304"/>
      <c r="L8" s="303"/>
      <c r="M8" s="304"/>
      <c r="N8" s="303"/>
      <c r="O8" s="304"/>
      <c r="P8" s="303"/>
      <c r="Q8" s="304"/>
      <c r="R8" s="303"/>
      <c r="S8" s="304"/>
      <c r="T8" s="303"/>
      <c r="U8" s="304"/>
      <c r="V8" s="303"/>
      <c r="W8" s="304"/>
      <c r="AA8" s="3"/>
      <c r="AI8" s="10"/>
      <c r="AJ8" s="10"/>
      <c r="AZ8" s="8" t="s">
        <v>160</v>
      </c>
      <c r="BA8" s="151">
        <f>IF(BE47&lt;&gt;0,BE47,IF(BE48&lt;&gt;0,BE48,IF(BE49&lt;&gt;0,BE49,IF(BE50&lt;&gt;0,BE50,0))))</f>
        <v>0</v>
      </c>
      <c r="BE8" s="61" t="str">
        <f>'Verification of Boxes'!J13</f>
        <v>GIVAN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EWING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288" t="s">
        <v>112</v>
      </c>
      <c r="W9" s="290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IF(AT87&lt;&gt;0,"Exclude lowest candidate(s)","Transfer")</f>
        <v>Exclude lowest candidate(s)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N9" s="5">
        <f t="shared" ref="BN9:BN27" si="11">IF(A12&lt;&gt;0,A12,0)</f>
        <v>0</v>
      </c>
      <c r="BO9" s="7">
        <f t="shared" si="3"/>
        <v>493.42</v>
      </c>
      <c r="BP9" s="66"/>
      <c r="BR9" s="9" t="str">
        <f>'Verification of Boxes'!J11</f>
        <v>FLYNN</v>
      </c>
      <c r="BS9" s="64">
        <v>1</v>
      </c>
      <c r="BT9" s="5">
        <f t="shared" si="4"/>
        <v>1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1</v>
      </c>
    </row>
    <row r="10" spans="1:105" ht="15" customHeight="1" thickBot="1" x14ac:dyDescent="0.3">
      <c r="A10" s="15" t="s">
        <v>113</v>
      </c>
      <c r="B10" s="16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KENNEDY</v>
      </c>
      <c r="BF10" s="64"/>
      <c r="BG10" s="100">
        <f t="shared" si="0"/>
        <v>0</v>
      </c>
      <c r="BH10" s="150"/>
      <c r="BI10" s="5">
        <f t="shared" si="1"/>
        <v>0</v>
      </c>
      <c r="BJ10" s="5">
        <f t="shared" si="2"/>
        <v>0</v>
      </c>
      <c r="BN10" s="5">
        <f t="shared" si="11"/>
        <v>0</v>
      </c>
      <c r="BO10" s="7">
        <f t="shared" si="3"/>
        <v>472.42</v>
      </c>
      <c r="BP10" s="66"/>
      <c r="BR10" s="9" t="str">
        <f>'Verification of Boxes'!J12</f>
        <v>FRENCH</v>
      </c>
      <c r="BS10" s="64">
        <v>4</v>
      </c>
      <c r="BT10" s="5">
        <f t="shared" si="4"/>
        <v>4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4</v>
      </c>
    </row>
    <row r="11" spans="1:105" ht="15" customHeight="1" thickBot="1" x14ac:dyDescent="0.3">
      <c r="A11" s="30" t="str">
        <f>IF('Stage 2'!A11&lt;&gt;0,'Stage 2'!A11,IF(I11&gt;=$M$3,"Elected",IF(BP8&lt;&gt;0,"Excluded",0)))</f>
        <v>Elected</v>
      </c>
      <c r="B11" s="235">
        <f>'Stage 2'!B11</f>
        <v>1</v>
      </c>
      <c r="C11" s="155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 t="shared" ref="H11:H30" si="12">IF($C11&lt;&gt;0,$BK47,0)</f>
        <v>0</v>
      </c>
      <c r="I11" s="27">
        <f t="shared" ref="I11:I31" si="13">IF(H$8=0,0,G11+H11)</f>
        <v>1071</v>
      </c>
      <c r="J11" s="71"/>
      <c r="K11" s="27">
        <f t="shared" ref="K11:K31" si="14">IF(J$8=0,0,I11+J11)</f>
        <v>0</v>
      </c>
      <c r="L11" s="71"/>
      <c r="M11" s="27">
        <f t="shared" ref="M11:M31" si="15">IF(L$8=0,0,K11+L11)</f>
        <v>0</v>
      </c>
      <c r="N11" s="71"/>
      <c r="O11" s="27">
        <f t="shared" ref="O11:O31" si="16">IF(N$8=0,0,M11+N11)</f>
        <v>0</v>
      </c>
      <c r="P11" s="71"/>
      <c r="Q11" s="27">
        <f t="shared" ref="Q11:Q31" si="17">IF(P$8=0,0,O11+P11)</f>
        <v>0</v>
      </c>
      <c r="R11" s="71"/>
      <c r="S11" s="27">
        <f t="shared" ref="S11:S31" si="18">IF(R$8=0,0,Q11+R11)</f>
        <v>0</v>
      </c>
      <c r="T11" s="71"/>
      <c r="U11" s="27">
        <f t="shared" ref="U11:U31" si="19">IF(T$8=0,0,S11+T11)</f>
        <v>0</v>
      </c>
      <c r="V11" s="69"/>
      <c r="W11" s="39">
        <f t="shared" ref="W11:W31" si="20">IF(V$8=0,0,U11+V11)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>
        <f t="shared" si="2"/>
        <v>0</v>
      </c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31">
        <f>IF('Stage 2'!A12&lt;&gt;0,'Stage 2'!A12,IF(I12&gt;=$M$3,"Elected",IF(BP9&lt;&gt;0,"Excluded",0)))</f>
        <v>0</v>
      </c>
      <c r="B12" s="235">
        <f>'Stage 2'!B12</f>
        <v>0</v>
      </c>
      <c r="C12" s="119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 t="shared" si="12"/>
        <v>1</v>
      </c>
      <c r="I12" s="27">
        <f t="shared" si="13"/>
        <v>494.42</v>
      </c>
      <c r="J12" s="71"/>
      <c r="K12" s="27">
        <f t="shared" si="14"/>
        <v>0</v>
      </c>
      <c r="L12" s="71"/>
      <c r="M12" s="27">
        <f t="shared" si="15"/>
        <v>0</v>
      </c>
      <c r="N12" s="71"/>
      <c r="O12" s="27">
        <f t="shared" si="16"/>
        <v>0</v>
      </c>
      <c r="P12" s="71"/>
      <c r="Q12" s="27">
        <f t="shared" si="17"/>
        <v>0</v>
      </c>
      <c r="R12" s="71"/>
      <c r="S12" s="27">
        <f t="shared" si="18"/>
        <v>0</v>
      </c>
      <c r="T12" s="71"/>
      <c r="U12" s="27">
        <f t="shared" si="19"/>
        <v>0</v>
      </c>
      <c r="V12" s="69"/>
      <c r="W12" s="39">
        <f t="shared" si="20"/>
        <v>0</v>
      </c>
      <c r="AJ12" s="38"/>
      <c r="AZ12" t="s">
        <v>166</v>
      </c>
      <c r="BA12" s="3" t="s">
        <v>167</v>
      </c>
      <c r="BB12" s="3"/>
      <c r="BC12" s="50">
        <f>AG3</f>
        <v>40</v>
      </c>
      <c r="BE12" s="61" t="str">
        <f>'Verification of Boxes'!J17</f>
        <v>MITCHELL</v>
      </c>
      <c r="BF12" s="64"/>
      <c r="BG12" s="100">
        <f t="shared" si="0"/>
        <v>0</v>
      </c>
      <c r="BH12" s="150"/>
      <c r="BI12" s="5">
        <f t="shared" si="1"/>
        <v>0</v>
      </c>
      <c r="BJ12" s="5">
        <f t="shared" si="2"/>
        <v>0</v>
      </c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31">
        <f>IF('Stage 2'!A13&lt;&gt;0,'Stage 2'!A13,IF(I13&gt;=$M$3,"Elected",IF(BP10&lt;&gt;0,"Excluded",0)))</f>
        <v>0</v>
      </c>
      <c r="B13" s="235">
        <f>'Stage 2'!B13</f>
        <v>0</v>
      </c>
      <c r="C13" s="119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 t="shared" si="12"/>
        <v>4</v>
      </c>
      <c r="I13" s="27">
        <f t="shared" si="13"/>
        <v>476.42</v>
      </c>
      <c r="J13" s="71"/>
      <c r="K13" s="27">
        <f t="shared" si="14"/>
        <v>0</v>
      </c>
      <c r="L13" s="71"/>
      <c r="M13" s="27">
        <f t="shared" si="15"/>
        <v>0</v>
      </c>
      <c r="N13" s="71"/>
      <c r="O13" s="27">
        <f t="shared" si="16"/>
        <v>0</v>
      </c>
      <c r="P13" s="71"/>
      <c r="Q13" s="27">
        <f t="shared" si="17"/>
        <v>0</v>
      </c>
      <c r="R13" s="71"/>
      <c r="S13" s="27">
        <f t="shared" si="18"/>
        <v>0</v>
      </c>
      <c r="T13" s="71"/>
      <c r="U13" s="27">
        <f t="shared" si="19"/>
        <v>0</v>
      </c>
      <c r="V13" s="69"/>
      <c r="W13" s="39">
        <f t="shared" si="20"/>
        <v>0</v>
      </c>
      <c r="Z13" s="13" t="s">
        <v>115</v>
      </c>
      <c r="AA13" s="144" t="s">
        <v>168</v>
      </c>
      <c r="AB13" s="18"/>
      <c r="AC13" s="18" t="s">
        <v>169</v>
      </c>
      <c r="AD13" s="18"/>
      <c r="AE13" s="16" t="s">
        <v>170</v>
      </c>
      <c r="AF13" s="18" t="s">
        <v>171</v>
      </c>
      <c r="AG13" s="14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/>
      <c r="BE13" s="61" t="str">
        <f>'Verification of Boxes'!J18</f>
        <v>PALMER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N13" s="5">
        <f t="shared" si="11"/>
        <v>0</v>
      </c>
      <c r="BO13" s="7">
        <f t="shared" si="3"/>
        <v>674.24</v>
      </c>
      <c r="BP13" s="66"/>
      <c r="BR13" s="9" t="str">
        <f>'Verification of Boxes'!J15</f>
        <v>KENNEDY</v>
      </c>
      <c r="BS13" s="182">
        <v>3</v>
      </c>
      <c r="BT13" s="5">
        <f t="shared" si="4"/>
        <v>3</v>
      </c>
      <c r="BU13" s="182"/>
      <c r="BV13" s="5">
        <f t="shared" si="5"/>
        <v>0</v>
      </c>
      <c r="BW13" s="182">
        <v>1</v>
      </c>
      <c r="BX13" s="5">
        <f t="shared" si="6"/>
        <v>0.06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3.06</v>
      </c>
    </row>
    <row r="14" spans="1:105" ht="15" customHeight="1" thickBot="1" x14ac:dyDescent="0.3">
      <c r="A14" s="31" t="str">
        <f>IF('Stage 2'!A14&lt;&gt;0,'Stage 2'!A14,IF(I14&gt;=$M$3,"Elected",IF(BP11&lt;&gt;0,"Excluded",0)))</f>
        <v>Elected</v>
      </c>
      <c r="B14" s="235">
        <v>3</v>
      </c>
      <c r="C14" s="119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 t="shared" si="12"/>
        <v>0</v>
      </c>
      <c r="I14" s="27">
        <f t="shared" si="13"/>
        <v>1089.5999999999999</v>
      </c>
      <c r="J14" s="71"/>
      <c r="K14" s="27">
        <f t="shared" si="14"/>
        <v>0</v>
      </c>
      <c r="L14" s="71"/>
      <c r="M14" s="27">
        <f t="shared" si="15"/>
        <v>0</v>
      </c>
      <c r="N14" s="71"/>
      <c r="O14" s="27">
        <f t="shared" si="16"/>
        <v>0</v>
      </c>
      <c r="P14" s="71"/>
      <c r="Q14" s="27">
        <f t="shared" si="17"/>
        <v>0</v>
      </c>
      <c r="R14" s="71"/>
      <c r="S14" s="27">
        <f t="shared" si="18"/>
        <v>0</v>
      </c>
      <c r="T14" s="71"/>
      <c r="U14" s="27">
        <f t="shared" si="19"/>
        <v>0</v>
      </c>
      <c r="V14" s="69"/>
      <c r="W14" s="39">
        <f t="shared" si="20"/>
        <v>0</v>
      </c>
      <c r="Z14" s="141" t="str">
        <f>'Verification of Boxes'!J10</f>
        <v>EWING</v>
      </c>
      <c r="AA14" s="142">
        <f>G11</f>
        <v>1071</v>
      </c>
      <c r="AB14" s="118"/>
      <c r="AC14" s="118">
        <f t="shared" ref="AC14:AC33" si="21">IF(AA14&gt;0,AA14-AG$4,0)</f>
        <v>0</v>
      </c>
      <c r="AD14" s="118"/>
      <c r="AE14" s="88" t="str">
        <f>IF(Z14=0,0,IF(AA14&gt;=AG$4,"elected",IF(AA14=0,"excluded","continuing")))</f>
        <v>elected</v>
      </c>
      <c r="AF14" s="118">
        <f t="shared" ref="AF14:AF33" si="22">IF(AE14="elected",AC14,0)</f>
        <v>0</v>
      </c>
      <c r="AG14" s="143">
        <f t="shared" ref="AG14:AG33" si="23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/>
      <c r="BE14" s="61" t="str">
        <f>'Verification of Boxes'!J19</f>
        <v>PORTER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N14" s="5" t="str">
        <f t="shared" si="11"/>
        <v>Excluded</v>
      </c>
      <c r="BO14" s="7">
        <f t="shared" si="3"/>
        <v>388.44</v>
      </c>
      <c r="BP14" s="66" t="s">
        <v>144</v>
      </c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31" t="str">
        <f>IF('Stage 2'!A15&lt;&gt;0,'Stage 2'!A15,IF(I15&gt;=$M$3,"Elected",IF(BP12&lt;&gt;0,"Excluded",0)))</f>
        <v>Elected</v>
      </c>
      <c r="B15" s="235">
        <f>'Stage 2'!B15</f>
        <v>2</v>
      </c>
      <c r="C15" s="119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 t="shared" si="12"/>
        <v>0</v>
      </c>
      <c r="I15" s="27">
        <f t="shared" si="13"/>
        <v>1111</v>
      </c>
      <c r="J15" s="71"/>
      <c r="K15" s="27">
        <f t="shared" si="14"/>
        <v>0</v>
      </c>
      <c r="L15" s="71"/>
      <c r="M15" s="27">
        <f t="shared" si="15"/>
        <v>0</v>
      </c>
      <c r="N15" s="71"/>
      <c r="O15" s="27">
        <f t="shared" si="16"/>
        <v>0</v>
      </c>
      <c r="P15" s="71"/>
      <c r="Q15" s="27">
        <f t="shared" si="17"/>
        <v>0</v>
      </c>
      <c r="R15" s="71"/>
      <c r="S15" s="27">
        <f t="shared" si="18"/>
        <v>0</v>
      </c>
      <c r="T15" s="71"/>
      <c r="U15" s="27">
        <f t="shared" si="19"/>
        <v>0</v>
      </c>
      <c r="V15" s="69"/>
      <c r="W15" s="39">
        <f t="shared" si="20"/>
        <v>0</v>
      </c>
      <c r="Z15" s="7" t="str">
        <f>'Verification of Boxes'!J11</f>
        <v>FLYNN</v>
      </c>
      <c r="AA15" s="37">
        <f t="shared" ref="AA15:AA33" si="24">G12</f>
        <v>493.42</v>
      </c>
      <c r="AB15" s="5"/>
      <c r="AC15" s="5">
        <f t="shared" si="21"/>
        <v>-577.57999999999993</v>
      </c>
      <c r="AD15" s="5"/>
      <c r="AE15" s="5" t="str">
        <f t="shared" ref="AE15:AE33" si="25">IF(Z15=0,0,IF(AA15&gt;=AG$4,"elected",IF(AA15=0,"excluded","continuing")))</f>
        <v>continuing</v>
      </c>
      <c r="AF15" s="5">
        <f t="shared" si="22"/>
        <v>0</v>
      </c>
      <c r="AG15" s="35">
        <f t="shared" si="23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N15" s="5">
        <f t="shared" si="11"/>
        <v>0</v>
      </c>
      <c r="BO15" s="7">
        <f t="shared" si="3"/>
        <v>871.44</v>
      </c>
      <c r="BP15" s="66"/>
      <c r="BR15" s="9" t="str">
        <f>'Verification of Boxes'!J17</f>
        <v>MITCHELL</v>
      </c>
      <c r="BS15" s="64">
        <v>91</v>
      </c>
      <c r="BT15" s="5">
        <f t="shared" si="4"/>
        <v>91</v>
      </c>
      <c r="BU15" s="64"/>
      <c r="BV15" s="5">
        <f t="shared" si="5"/>
        <v>0</v>
      </c>
      <c r="BW15" s="64">
        <v>7</v>
      </c>
      <c r="BX15" s="5">
        <f t="shared" si="6"/>
        <v>0.42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91.42</v>
      </c>
    </row>
    <row r="16" spans="1:105" ht="15" customHeight="1" thickBot="1" x14ac:dyDescent="0.3">
      <c r="A16" s="31">
        <f>IF('Stage 2'!A16&lt;&gt;0,'Stage 2'!A16,IF(I16&gt;=$M$3,"Elected",IF(BP13&lt;&gt;0,"Excluded",0)))</f>
        <v>0</v>
      </c>
      <c r="B16" s="235">
        <f>'Stage 2'!B16</f>
        <v>0</v>
      </c>
      <c r="C16" s="119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 t="shared" si="12"/>
        <v>3.06</v>
      </c>
      <c r="I16" s="27">
        <f t="shared" si="13"/>
        <v>677.3</v>
      </c>
      <c r="J16" s="71"/>
      <c r="K16" s="27">
        <f t="shared" si="14"/>
        <v>0</v>
      </c>
      <c r="L16" s="71"/>
      <c r="M16" s="27">
        <f t="shared" si="15"/>
        <v>0</v>
      </c>
      <c r="N16" s="71"/>
      <c r="O16" s="27">
        <f t="shared" si="16"/>
        <v>0</v>
      </c>
      <c r="P16" s="71"/>
      <c r="Q16" s="27">
        <f t="shared" si="17"/>
        <v>0</v>
      </c>
      <c r="R16" s="71"/>
      <c r="S16" s="27">
        <f t="shared" si="18"/>
        <v>0</v>
      </c>
      <c r="T16" s="71"/>
      <c r="U16" s="27">
        <f t="shared" si="19"/>
        <v>0</v>
      </c>
      <c r="V16" s="69"/>
      <c r="W16" s="39">
        <f t="shared" si="20"/>
        <v>0</v>
      </c>
      <c r="Z16" s="7" t="str">
        <f>'Verification of Boxes'!J12</f>
        <v>FRENCH</v>
      </c>
      <c r="AA16" s="37">
        <f t="shared" si="24"/>
        <v>472.42</v>
      </c>
      <c r="AB16" s="5"/>
      <c r="AC16" s="5">
        <f t="shared" si="21"/>
        <v>-598.57999999999993</v>
      </c>
      <c r="AD16" s="5"/>
      <c r="AE16" s="5" t="str">
        <f t="shared" si="25"/>
        <v>continuing</v>
      </c>
      <c r="AF16" s="5">
        <f t="shared" si="22"/>
        <v>0</v>
      </c>
      <c r="AG16" s="35">
        <f t="shared" si="23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N16" s="5">
        <f t="shared" si="11"/>
        <v>0</v>
      </c>
      <c r="BO16" s="7">
        <f t="shared" si="3"/>
        <v>628.41999999999996</v>
      </c>
      <c r="BP16" s="66"/>
      <c r="BR16" s="9" t="str">
        <f>'Verification of Boxes'!J18</f>
        <v>PALMER</v>
      </c>
      <c r="BS16" s="64">
        <v>64</v>
      </c>
      <c r="BT16" s="5">
        <f t="shared" si="4"/>
        <v>64</v>
      </c>
      <c r="BU16" s="64"/>
      <c r="BV16" s="5">
        <f t="shared" si="5"/>
        <v>0</v>
      </c>
      <c r="BW16" s="64">
        <v>8</v>
      </c>
      <c r="BX16" s="5">
        <f t="shared" si="6"/>
        <v>0.48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64.48</v>
      </c>
    </row>
    <row r="17" spans="1:83" ht="15" customHeight="1" thickBot="1" x14ac:dyDescent="0.3">
      <c r="A17" s="31" t="str">
        <f>IF('Stage 2'!A17&lt;&gt;0,'Stage 2'!A17,IF(I17&gt;=$M$3,"Elected",IF(BP14&lt;&gt;0,"Excluded",0)))</f>
        <v>Excluded</v>
      </c>
      <c r="B17" s="235">
        <f>'Stage 2'!B17</f>
        <v>0</v>
      </c>
      <c r="C17" s="119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 t="shared" si="12"/>
        <v>-388.44</v>
      </c>
      <c r="I17" s="27">
        <f t="shared" si="13"/>
        <v>0</v>
      </c>
      <c r="J17" s="71"/>
      <c r="K17" s="27">
        <f t="shared" si="14"/>
        <v>0</v>
      </c>
      <c r="L17" s="71"/>
      <c r="M17" s="27">
        <f t="shared" si="15"/>
        <v>0</v>
      </c>
      <c r="N17" s="71"/>
      <c r="O17" s="27">
        <f t="shared" si="16"/>
        <v>0</v>
      </c>
      <c r="P17" s="71"/>
      <c r="Q17" s="27">
        <f t="shared" si="17"/>
        <v>0</v>
      </c>
      <c r="R17" s="71"/>
      <c r="S17" s="27">
        <f t="shared" si="18"/>
        <v>0</v>
      </c>
      <c r="T17" s="71"/>
      <c r="U17" s="27">
        <f t="shared" si="19"/>
        <v>0</v>
      </c>
      <c r="V17" s="69"/>
      <c r="W17" s="39">
        <f t="shared" si="20"/>
        <v>0</v>
      </c>
      <c r="Z17" s="7" t="str">
        <f>'Verification of Boxes'!J13</f>
        <v>GIVAN</v>
      </c>
      <c r="AA17" s="37">
        <f t="shared" si="24"/>
        <v>1089.5999999999999</v>
      </c>
      <c r="AB17" s="5"/>
      <c r="AC17" s="5">
        <f t="shared" si="21"/>
        <v>18.599999999999909</v>
      </c>
      <c r="AD17" s="5"/>
      <c r="AE17" s="5" t="str">
        <f t="shared" si="25"/>
        <v>elected</v>
      </c>
      <c r="AF17" s="5">
        <f t="shared" si="22"/>
        <v>18.599999999999909</v>
      </c>
      <c r="AG17" s="35" t="str">
        <f t="shared" si="23"/>
        <v>transfer largest surplus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N17" s="5">
        <f t="shared" si="11"/>
        <v>0</v>
      </c>
      <c r="BO17" s="7">
        <f t="shared" si="3"/>
        <v>696</v>
      </c>
      <c r="BP17" s="66"/>
      <c r="BR17" s="9" t="str">
        <f>'Verification of Boxes'!J19</f>
        <v>PORTER</v>
      </c>
      <c r="BS17" s="64">
        <v>204</v>
      </c>
      <c r="BT17" s="5">
        <f t="shared" si="4"/>
        <v>204</v>
      </c>
      <c r="BU17" s="64"/>
      <c r="BV17" s="5">
        <f t="shared" si="5"/>
        <v>0</v>
      </c>
      <c r="BW17" s="64">
        <v>7</v>
      </c>
      <c r="BX17" s="5">
        <f t="shared" si="6"/>
        <v>0.42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204.42</v>
      </c>
    </row>
    <row r="18" spans="1:83" ht="15" customHeight="1" thickBot="1" x14ac:dyDescent="0.3">
      <c r="A18" s="31">
        <f>IF('Stage 2'!A18&lt;&gt;0,'Stage 2'!A18,IF(I18&gt;=$M$3,"Elected",IF(BP15&lt;&gt;0,"Excluded",0)))</f>
        <v>0</v>
      </c>
      <c r="B18" s="235">
        <f>'Stage 2'!B18</f>
        <v>0</v>
      </c>
      <c r="C18" s="119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 t="shared" si="12"/>
        <v>91.42</v>
      </c>
      <c r="I18" s="27">
        <f t="shared" si="13"/>
        <v>962.86</v>
      </c>
      <c r="J18" s="71"/>
      <c r="K18" s="27">
        <f t="shared" si="14"/>
        <v>0</v>
      </c>
      <c r="L18" s="71"/>
      <c r="M18" s="27">
        <f t="shared" si="15"/>
        <v>0</v>
      </c>
      <c r="N18" s="71"/>
      <c r="O18" s="27">
        <f t="shared" si="16"/>
        <v>0</v>
      </c>
      <c r="P18" s="71"/>
      <c r="Q18" s="27">
        <f t="shared" si="17"/>
        <v>0</v>
      </c>
      <c r="R18" s="71"/>
      <c r="S18" s="27">
        <f t="shared" si="18"/>
        <v>0</v>
      </c>
      <c r="T18" s="71"/>
      <c r="U18" s="27">
        <f t="shared" si="19"/>
        <v>0</v>
      </c>
      <c r="V18" s="69"/>
      <c r="W18" s="39">
        <f t="shared" si="20"/>
        <v>0</v>
      </c>
      <c r="Z18" s="7" t="str">
        <f>'Verification of Boxes'!J14</f>
        <v>GREHAN</v>
      </c>
      <c r="AA18" s="37">
        <f t="shared" si="24"/>
        <v>1111</v>
      </c>
      <c r="AB18" s="5"/>
      <c r="AC18" s="5">
        <f t="shared" si="21"/>
        <v>40</v>
      </c>
      <c r="AD18" s="5"/>
      <c r="AE18" s="5" t="str">
        <f t="shared" si="25"/>
        <v>elected</v>
      </c>
      <c r="AF18" s="5">
        <f t="shared" si="22"/>
        <v>40</v>
      </c>
      <c r="AG18" s="35" t="str">
        <f t="shared" si="23"/>
        <v>transfer largest surplus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31">
        <f>IF('Stage 2'!A19&lt;&gt;0,'Stage 2'!A19,IF(I19&gt;=$M$3,"Elected",IF(BP16&lt;&gt;0,"Excluded",0)))</f>
        <v>0</v>
      </c>
      <c r="B19" s="235">
        <f>'Stage 2'!B19</f>
        <v>0</v>
      </c>
      <c r="C19" s="119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 t="shared" si="12"/>
        <v>64.48</v>
      </c>
      <c r="I19" s="27">
        <f t="shared" si="13"/>
        <v>692.9</v>
      </c>
      <c r="J19" s="71"/>
      <c r="K19" s="27">
        <f t="shared" si="14"/>
        <v>0</v>
      </c>
      <c r="L19" s="71"/>
      <c r="M19" s="27">
        <f t="shared" si="15"/>
        <v>0</v>
      </c>
      <c r="N19" s="71"/>
      <c r="O19" s="27">
        <f t="shared" si="16"/>
        <v>0</v>
      </c>
      <c r="P19" s="71"/>
      <c r="Q19" s="27">
        <f t="shared" si="17"/>
        <v>0</v>
      </c>
      <c r="R19" s="71"/>
      <c r="S19" s="27">
        <f t="shared" si="18"/>
        <v>0</v>
      </c>
      <c r="T19" s="71"/>
      <c r="U19" s="27">
        <f t="shared" si="19"/>
        <v>0</v>
      </c>
      <c r="V19" s="69"/>
      <c r="W19" s="39">
        <f t="shared" si="20"/>
        <v>0</v>
      </c>
      <c r="Z19" s="7" t="str">
        <f>'Verification of Boxes'!J15</f>
        <v>KENNEDY</v>
      </c>
      <c r="AA19" s="37">
        <f t="shared" si="24"/>
        <v>674.24</v>
      </c>
      <c r="AB19" s="5"/>
      <c r="AC19" s="5">
        <f t="shared" si="21"/>
        <v>-396.76</v>
      </c>
      <c r="AD19" s="5"/>
      <c r="AE19" s="5" t="str">
        <f t="shared" si="25"/>
        <v>continuing</v>
      </c>
      <c r="AF19" s="5">
        <f t="shared" si="22"/>
        <v>0</v>
      </c>
      <c r="AG19" s="35">
        <f t="shared" si="23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31">
        <f>IF('Stage 2'!A20&lt;&gt;0,'Stage 2'!A20,IF(I20&gt;=$M$3,"Elected",IF(BP17&lt;&gt;0,"Excluded",0)))</f>
        <v>0</v>
      </c>
      <c r="B20" s="235">
        <f>'Stage 2'!B20</f>
        <v>0</v>
      </c>
      <c r="C20" s="119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 t="shared" si="12"/>
        <v>204.42</v>
      </c>
      <c r="I20" s="27">
        <f t="shared" si="13"/>
        <v>900.42</v>
      </c>
      <c r="J20" s="71"/>
      <c r="K20" s="27">
        <f t="shared" si="14"/>
        <v>0</v>
      </c>
      <c r="L20" s="71"/>
      <c r="M20" s="27">
        <f t="shared" si="15"/>
        <v>0</v>
      </c>
      <c r="N20" s="71"/>
      <c r="O20" s="27">
        <f t="shared" si="16"/>
        <v>0</v>
      </c>
      <c r="P20" s="71"/>
      <c r="Q20" s="27">
        <f t="shared" si="17"/>
        <v>0</v>
      </c>
      <c r="R20" s="71"/>
      <c r="S20" s="27">
        <f t="shared" si="18"/>
        <v>0</v>
      </c>
      <c r="T20" s="71"/>
      <c r="U20" s="27">
        <f t="shared" si="19"/>
        <v>0</v>
      </c>
      <c r="V20" s="69"/>
      <c r="W20" s="39">
        <f t="shared" si="20"/>
        <v>0</v>
      </c>
      <c r="Z20" s="7" t="str">
        <f>'Verification of Boxes'!J16</f>
        <v>MCEVOY</v>
      </c>
      <c r="AA20" s="37">
        <f t="shared" si="24"/>
        <v>388.44</v>
      </c>
      <c r="AB20" s="5"/>
      <c r="AC20" s="5">
        <f t="shared" si="21"/>
        <v>-682.56</v>
      </c>
      <c r="AD20" s="5"/>
      <c r="AE20" s="5" t="str">
        <f t="shared" si="25"/>
        <v>continuing</v>
      </c>
      <c r="AF20" s="5">
        <f t="shared" si="22"/>
        <v>0</v>
      </c>
      <c r="AG20" s="35">
        <f t="shared" si="23"/>
        <v>0</v>
      </c>
      <c r="AJ20" s="339" t="s">
        <v>184</v>
      </c>
      <c r="AK20" s="340"/>
      <c r="AL20" s="142">
        <f>AL46</f>
        <v>388.44</v>
      </c>
      <c r="AM20" s="118"/>
      <c r="AN20" s="142">
        <f>AL20+AG2</f>
        <v>447.03999999999991</v>
      </c>
      <c r="AO20" s="334" t="str">
        <f>IF(AN20&gt;AG4,0,IF(AN20&lt;AL21,"Exclude lowest candidate",0))</f>
        <v>Exclude lowest candidate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31">
        <f>IF('Stage 2'!A21&lt;&gt;0,'Stage 2'!A21,IF(I21&gt;=$M$3,"Elected",IF(BP18&lt;&gt;0,"Excluded",0)))</f>
        <v>0</v>
      </c>
      <c r="B21" s="235">
        <f>'Stage 2'!B21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 t="shared" si="12"/>
        <v>0</v>
      </c>
      <c r="I21" s="27">
        <f t="shared" si="13"/>
        <v>0</v>
      </c>
      <c r="J21" s="71"/>
      <c r="K21" s="27">
        <f t="shared" si="14"/>
        <v>0</v>
      </c>
      <c r="L21" s="71"/>
      <c r="M21" s="27">
        <f t="shared" si="15"/>
        <v>0</v>
      </c>
      <c r="N21" s="71"/>
      <c r="O21" s="27">
        <f t="shared" si="16"/>
        <v>0</v>
      </c>
      <c r="P21" s="71"/>
      <c r="Q21" s="27">
        <f t="shared" si="17"/>
        <v>0</v>
      </c>
      <c r="R21" s="71"/>
      <c r="S21" s="27">
        <f t="shared" si="18"/>
        <v>0</v>
      </c>
      <c r="T21" s="71"/>
      <c r="U21" s="27">
        <f t="shared" si="19"/>
        <v>0</v>
      </c>
      <c r="V21" s="69"/>
      <c r="W21" s="39">
        <f t="shared" si="20"/>
        <v>0</v>
      </c>
      <c r="Z21" s="7" t="str">
        <f>'Verification of Boxes'!J17</f>
        <v>MITCHELL</v>
      </c>
      <c r="AA21" s="37">
        <f t="shared" si="24"/>
        <v>871.44</v>
      </c>
      <c r="AB21" s="5"/>
      <c r="AC21" s="5">
        <f t="shared" si="21"/>
        <v>-199.55999999999995</v>
      </c>
      <c r="AD21" s="5"/>
      <c r="AE21" s="5" t="str">
        <f t="shared" si="25"/>
        <v>continuing</v>
      </c>
      <c r="AF21" s="5">
        <f t="shared" si="22"/>
        <v>0</v>
      </c>
      <c r="AG21" s="35">
        <f t="shared" si="23"/>
        <v>0</v>
      </c>
      <c r="AJ21" s="341" t="s">
        <v>185</v>
      </c>
      <c r="AK21" s="293"/>
      <c r="AL21" s="37">
        <f>IF(AL20=1000000,0,AN46)</f>
        <v>472.42</v>
      </c>
      <c r="AM21" s="5">
        <f>AL21-AL20</f>
        <v>83.980000000000018</v>
      </c>
      <c r="AN21" s="5">
        <f>IF(AL21=1000000,0,IF(AN20=0,0,AN20+AL21))</f>
        <v>919.45999999999992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31">
        <f>IF('Stage 2'!A22&lt;&gt;0,'Stage 2'!A22,IF(I22&gt;=$M$3,"Elected",IF(BP19&lt;&gt;0,"Excluded",0)))</f>
        <v>0</v>
      </c>
      <c r="B22" s="235">
        <f>'Stage 2'!B22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 t="shared" si="12"/>
        <v>0</v>
      </c>
      <c r="I22" s="27">
        <f t="shared" si="13"/>
        <v>0</v>
      </c>
      <c r="J22" s="71"/>
      <c r="K22" s="27">
        <f t="shared" si="14"/>
        <v>0</v>
      </c>
      <c r="L22" s="71"/>
      <c r="M22" s="27">
        <f t="shared" si="15"/>
        <v>0</v>
      </c>
      <c r="N22" s="71"/>
      <c r="O22" s="27">
        <f t="shared" si="16"/>
        <v>0</v>
      </c>
      <c r="P22" s="71"/>
      <c r="Q22" s="27">
        <f t="shared" si="17"/>
        <v>0</v>
      </c>
      <c r="R22" s="71"/>
      <c r="S22" s="27">
        <f t="shared" si="18"/>
        <v>0</v>
      </c>
      <c r="T22" s="71"/>
      <c r="U22" s="27">
        <f t="shared" si="19"/>
        <v>0</v>
      </c>
      <c r="V22" s="69"/>
      <c r="W22" s="39">
        <f t="shared" si="20"/>
        <v>0</v>
      </c>
      <c r="Z22" s="7" t="str">
        <f>'Verification of Boxes'!J18</f>
        <v>PALMER</v>
      </c>
      <c r="AA22" s="37">
        <f t="shared" si="24"/>
        <v>628.41999999999996</v>
      </c>
      <c r="AB22" s="5"/>
      <c r="AC22" s="5">
        <f t="shared" si="21"/>
        <v>-442.58000000000004</v>
      </c>
      <c r="AD22" s="5"/>
      <c r="AE22" s="5" t="str">
        <f t="shared" si="25"/>
        <v>continuing</v>
      </c>
      <c r="AF22" s="5">
        <f t="shared" si="22"/>
        <v>0</v>
      </c>
      <c r="AG22" s="35">
        <f t="shared" si="23"/>
        <v>0</v>
      </c>
      <c r="AJ22" s="341" t="s">
        <v>185</v>
      </c>
      <c r="AK22" s="293"/>
      <c r="AL22" s="37">
        <f>IF(AL21=1000000,0,AP46)</f>
        <v>493.42</v>
      </c>
      <c r="AM22" s="5">
        <f>IF(AL22=1000000,0,IF(AM21=0,0,AL22-AL21))</f>
        <v>21</v>
      </c>
      <c r="AN22" s="5">
        <f>IF(AL22=1000000,0,IF(AN21=0,0,AN21+AL22))</f>
        <v>1412.8799999999999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31">
        <f>IF('Stage 2'!A23&lt;&gt;0,'Stage 2'!A23,IF(I23&gt;=$M$3,"Elected",IF(BP20&lt;&gt;0,"Excluded",0)))</f>
        <v>0</v>
      </c>
      <c r="B23" s="235">
        <f>'Stage 2'!B23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 t="shared" si="12"/>
        <v>0</v>
      </c>
      <c r="I23" s="27">
        <f t="shared" si="13"/>
        <v>0</v>
      </c>
      <c r="J23" s="71"/>
      <c r="K23" s="27">
        <f t="shared" si="14"/>
        <v>0</v>
      </c>
      <c r="L23" s="71"/>
      <c r="M23" s="27">
        <f t="shared" si="15"/>
        <v>0</v>
      </c>
      <c r="N23" s="71"/>
      <c r="O23" s="27">
        <f t="shared" si="16"/>
        <v>0</v>
      </c>
      <c r="P23" s="71"/>
      <c r="Q23" s="27">
        <f t="shared" si="17"/>
        <v>0</v>
      </c>
      <c r="R23" s="71"/>
      <c r="S23" s="27">
        <f t="shared" si="18"/>
        <v>0</v>
      </c>
      <c r="T23" s="71"/>
      <c r="U23" s="27">
        <f t="shared" si="19"/>
        <v>0</v>
      </c>
      <c r="V23" s="69"/>
      <c r="W23" s="39">
        <f t="shared" si="20"/>
        <v>0</v>
      </c>
      <c r="Z23" s="7" t="str">
        <f>'Verification of Boxes'!J19</f>
        <v>PORTER</v>
      </c>
      <c r="AA23" s="37">
        <f t="shared" si="24"/>
        <v>696</v>
      </c>
      <c r="AB23" s="5"/>
      <c r="AC23" s="5">
        <f t="shared" si="21"/>
        <v>-375</v>
      </c>
      <c r="AD23" s="5"/>
      <c r="AE23" s="5" t="str">
        <f t="shared" si="25"/>
        <v>continuing</v>
      </c>
      <c r="AF23" s="5">
        <f t="shared" si="22"/>
        <v>0</v>
      </c>
      <c r="AG23" s="35">
        <f t="shared" si="23"/>
        <v>0</v>
      </c>
      <c r="AJ23" s="341" t="s">
        <v>185</v>
      </c>
      <c r="AK23" s="293"/>
      <c r="AL23" s="37">
        <f>IF(AL22=1000000,0,AR46)</f>
        <v>628.41999999999996</v>
      </c>
      <c r="AM23" s="5">
        <f>IF(AL23=1000000,0,IF(AM22=0,0,AL23-AL22))</f>
        <v>134.99999999999994</v>
      </c>
      <c r="AN23" s="5">
        <f>IF(AL23=1000000,0,IF(AN22=0,0,AN22+AL23))</f>
        <v>2041.2999999999997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31">
        <f>IF('Stage 2'!A24&lt;&gt;0,'Stage 2'!A24,IF(I24&gt;=$M$3,"Elected",IF(BP21&lt;&gt;0,"Excluded",0)))</f>
        <v>0</v>
      </c>
      <c r="B24" s="235">
        <f>'Stage 2'!B24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 t="shared" si="12"/>
        <v>0</v>
      </c>
      <c r="I24" s="27">
        <f t="shared" si="13"/>
        <v>0</v>
      </c>
      <c r="J24" s="71"/>
      <c r="K24" s="27">
        <f t="shared" si="14"/>
        <v>0</v>
      </c>
      <c r="L24" s="71"/>
      <c r="M24" s="27">
        <f t="shared" si="15"/>
        <v>0</v>
      </c>
      <c r="N24" s="71"/>
      <c r="O24" s="27">
        <f t="shared" si="16"/>
        <v>0</v>
      </c>
      <c r="P24" s="71"/>
      <c r="Q24" s="27">
        <f t="shared" si="17"/>
        <v>0</v>
      </c>
      <c r="R24" s="71"/>
      <c r="S24" s="27">
        <f t="shared" si="18"/>
        <v>0</v>
      </c>
      <c r="T24" s="71"/>
      <c r="U24" s="27">
        <f t="shared" si="19"/>
        <v>0</v>
      </c>
      <c r="V24" s="69"/>
      <c r="W24" s="39">
        <f t="shared" si="20"/>
        <v>0</v>
      </c>
      <c r="Z24" s="7">
        <f>'Verification of Boxes'!J20</f>
        <v>0</v>
      </c>
      <c r="AA24" s="37">
        <f t="shared" si="24"/>
        <v>0</v>
      </c>
      <c r="AB24" s="5"/>
      <c r="AC24" s="5">
        <f t="shared" si="21"/>
        <v>0</v>
      </c>
      <c r="AD24" s="5"/>
      <c r="AE24" s="5">
        <f t="shared" si="25"/>
        <v>0</v>
      </c>
      <c r="AF24" s="5">
        <f t="shared" si="22"/>
        <v>0</v>
      </c>
      <c r="AG24" s="35">
        <f t="shared" si="23"/>
        <v>0</v>
      </c>
      <c r="AJ24" s="341" t="s">
        <v>185</v>
      </c>
      <c r="AK24" s="293"/>
      <c r="AL24" s="37">
        <f>IF(AR46=1000000,0,AU44)</f>
        <v>674.24</v>
      </c>
      <c r="AM24" s="5">
        <f>IF(AL24=1000000,0,IF(AM23=0,0,AL24-AL23))</f>
        <v>45.82000000000005</v>
      </c>
      <c r="AN24" s="5">
        <f>IF(AL24=1000000,0,IF(AN23=0,0,AN23+AL24))</f>
        <v>2715.54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189</v>
      </c>
      <c r="BA24" s="3" t="s">
        <v>190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31">
        <f>IF('Stage 2'!A25&lt;&gt;0,'Stage 2'!A25,IF(I25&gt;=$M$3,"Elected",IF(BP22&lt;&gt;0,"Excluded",0)))</f>
        <v>0</v>
      </c>
      <c r="B25" s="235">
        <f>'Stage 2'!B25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 t="shared" si="12"/>
        <v>0</v>
      </c>
      <c r="I25" s="27">
        <f t="shared" si="13"/>
        <v>0</v>
      </c>
      <c r="J25" s="71"/>
      <c r="K25" s="27">
        <f t="shared" si="14"/>
        <v>0</v>
      </c>
      <c r="L25" s="71"/>
      <c r="M25" s="27">
        <f t="shared" si="15"/>
        <v>0</v>
      </c>
      <c r="N25" s="71"/>
      <c r="O25" s="27">
        <f t="shared" si="16"/>
        <v>0</v>
      </c>
      <c r="P25" s="71"/>
      <c r="Q25" s="27">
        <f t="shared" si="17"/>
        <v>0</v>
      </c>
      <c r="R25" s="71"/>
      <c r="S25" s="27">
        <f t="shared" si="18"/>
        <v>0</v>
      </c>
      <c r="T25" s="71"/>
      <c r="U25" s="27">
        <f t="shared" si="19"/>
        <v>0</v>
      </c>
      <c r="V25" s="69"/>
      <c r="W25" s="39">
        <f t="shared" si="20"/>
        <v>0</v>
      </c>
      <c r="Z25" s="7">
        <f>'Verification of Boxes'!J21</f>
        <v>0</v>
      </c>
      <c r="AA25" s="37">
        <f t="shared" si="24"/>
        <v>0</v>
      </c>
      <c r="AB25" s="5"/>
      <c r="AC25" s="5">
        <f t="shared" si="21"/>
        <v>0</v>
      </c>
      <c r="AD25" s="5"/>
      <c r="AE25" s="5">
        <f t="shared" si="25"/>
        <v>0</v>
      </c>
      <c r="AF25" s="5">
        <f t="shared" si="22"/>
        <v>0</v>
      </c>
      <c r="AG25" s="35">
        <f t="shared" si="23"/>
        <v>0</v>
      </c>
      <c r="AJ25" s="355" t="s">
        <v>185</v>
      </c>
      <c r="AK25" s="356"/>
      <c r="AL25" s="89">
        <f>IF(AL24=1000000,0,AW44)</f>
        <v>696</v>
      </c>
      <c r="AM25" s="90">
        <f>IF(AL25=1000000,0,IF(AM24=0,0,AL25-AL24))</f>
        <v>21.759999999999991</v>
      </c>
      <c r="AN25" s="90">
        <f>IF(AL25=1000000,0,IF(AN24=0,0,AN24+AL25))</f>
        <v>3411.54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0</v>
      </c>
      <c r="BE25" s="61" t="s">
        <v>193</v>
      </c>
      <c r="BF25" s="5">
        <f>SUM(BF5:BF24)</f>
        <v>0</v>
      </c>
      <c r="BG25" s="100">
        <f>SUM(BG5:BG24)</f>
        <v>0</v>
      </c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31">
        <f>IF('Stage 2'!A26&lt;&gt;0,'Stage 2'!A26,IF(I26&gt;=$M$3,"Elected",IF(BP23&lt;&gt;0,"Excluded",0)))</f>
        <v>0</v>
      </c>
      <c r="B26" s="235">
        <f>'Stage 2'!B26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 t="shared" si="12"/>
        <v>0</v>
      </c>
      <c r="I26" s="27">
        <f t="shared" si="13"/>
        <v>0</v>
      </c>
      <c r="J26" s="71"/>
      <c r="K26" s="27">
        <f t="shared" si="14"/>
        <v>0</v>
      </c>
      <c r="L26" s="71"/>
      <c r="M26" s="27">
        <f t="shared" si="15"/>
        <v>0</v>
      </c>
      <c r="N26" s="71"/>
      <c r="O26" s="27">
        <f t="shared" si="16"/>
        <v>0</v>
      </c>
      <c r="P26" s="71"/>
      <c r="Q26" s="27">
        <f t="shared" si="17"/>
        <v>0</v>
      </c>
      <c r="R26" s="71"/>
      <c r="S26" s="27">
        <f t="shared" si="18"/>
        <v>0</v>
      </c>
      <c r="T26" s="71"/>
      <c r="U26" s="27">
        <f t="shared" si="19"/>
        <v>0</v>
      </c>
      <c r="V26" s="69"/>
      <c r="W26" s="39">
        <f t="shared" si="20"/>
        <v>0</v>
      </c>
      <c r="Z26" s="7">
        <f>'Verification of Boxes'!J22</f>
        <v>0</v>
      </c>
      <c r="AA26" s="37">
        <f t="shared" si="24"/>
        <v>0</v>
      </c>
      <c r="AB26" s="5"/>
      <c r="AC26" s="5">
        <f t="shared" si="21"/>
        <v>0</v>
      </c>
      <c r="AD26" s="5"/>
      <c r="AE26" s="5">
        <f t="shared" si="25"/>
        <v>0</v>
      </c>
      <c r="AF26" s="5">
        <f t="shared" si="22"/>
        <v>0</v>
      </c>
      <c r="AG26" s="35">
        <f t="shared" si="23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194</v>
      </c>
      <c r="BF26" s="64"/>
      <c r="BG26" s="100">
        <f>IF(AT5="T",BC25+BC31,0)</f>
        <v>0</v>
      </c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31">
        <f>IF('Stage 2'!A27&lt;&gt;0,'Stage 2'!A27,IF(I27&gt;=$M$3,"Elected",IF(BP24&lt;&gt;0,"Excluded",0)))</f>
        <v>0</v>
      </c>
      <c r="B27" s="235">
        <f>'Stage 2'!B27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 t="shared" si="12"/>
        <v>0</v>
      </c>
      <c r="I27" s="27">
        <f t="shared" si="13"/>
        <v>0</v>
      </c>
      <c r="J27" s="71"/>
      <c r="K27" s="27">
        <f t="shared" si="14"/>
        <v>0</v>
      </c>
      <c r="L27" s="71"/>
      <c r="M27" s="27">
        <f t="shared" si="15"/>
        <v>0</v>
      </c>
      <c r="N27" s="71"/>
      <c r="O27" s="27">
        <f t="shared" si="16"/>
        <v>0</v>
      </c>
      <c r="P27" s="71"/>
      <c r="Q27" s="27">
        <f t="shared" si="17"/>
        <v>0</v>
      </c>
      <c r="R27" s="71"/>
      <c r="S27" s="27">
        <f t="shared" si="18"/>
        <v>0</v>
      </c>
      <c r="T27" s="71"/>
      <c r="U27" s="27">
        <f t="shared" si="19"/>
        <v>0</v>
      </c>
      <c r="V27" s="69"/>
      <c r="W27" s="39">
        <f t="shared" si="20"/>
        <v>0</v>
      </c>
      <c r="Z27" s="7">
        <f>'Verification of Boxes'!J23</f>
        <v>0</v>
      </c>
      <c r="AA27" s="37">
        <f t="shared" si="24"/>
        <v>0</v>
      </c>
      <c r="AB27" s="5"/>
      <c r="AC27" s="5">
        <f t="shared" si="21"/>
        <v>0</v>
      </c>
      <c r="AD27" s="5"/>
      <c r="AE27" s="5">
        <f t="shared" si="25"/>
        <v>0</v>
      </c>
      <c r="AF27" s="5">
        <f t="shared" si="22"/>
        <v>0</v>
      </c>
      <c r="AG27" s="35">
        <f t="shared" si="23"/>
        <v>0</v>
      </c>
      <c r="AJ27" s="98"/>
      <c r="AK27" s="98"/>
      <c r="AT27" s="5">
        <f>AW27</f>
        <v>0</v>
      </c>
      <c r="AU27" s="5">
        <f t="shared" ref="AU27:AU32" si="26">IF(AO20&lt;&gt;0,1,0)</f>
        <v>1</v>
      </c>
      <c r="AV27" s="5">
        <f>AU27</f>
        <v>1</v>
      </c>
      <c r="AW27" s="5">
        <f t="shared" ref="AW27:AW32" si="27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0</v>
      </c>
      <c r="BG27" s="101">
        <f>SUM(BG25:BG26)</f>
        <v>0</v>
      </c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31">
        <f>IF('Stage 2'!A28&lt;&gt;0,'Stage 2'!A28,IF(I28&gt;=$M$3,"Elected",IF(BP25&lt;&gt;0,"Excluded",0)))</f>
        <v>0</v>
      </c>
      <c r="B28" s="235">
        <f>'Stage 2'!B28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 t="shared" si="12"/>
        <v>0</v>
      </c>
      <c r="I28" s="27">
        <f t="shared" si="13"/>
        <v>0</v>
      </c>
      <c r="J28" s="71"/>
      <c r="K28" s="27">
        <f t="shared" si="14"/>
        <v>0</v>
      </c>
      <c r="L28" s="71"/>
      <c r="M28" s="27">
        <f t="shared" si="15"/>
        <v>0</v>
      </c>
      <c r="N28" s="71"/>
      <c r="O28" s="27">
        <f t="shared" si="16"/>
        <v>0</v>
      </c>
      <c r="P28" s="71"/>
      <c r="Q28" s="27">
        <f t="shared" si="17"/>
        <v>0</v>
      </c>
      <c r="R28" s="71"/>
      <c r="S28" s="27">
        <f t="shared" si="18"/>
        <v>0</v>
      </c>
      <c r="T28" s="71"/>
      <c r="U28" s="27">
        <f t="shared" si="19"/>
        <v>0</v>
      </c>
      <c r="V28" s="69"/>
      <c r="W28" s="39">
        <f t="shared" si="20"/>
        <v>0</v>
      </c>
      <c r="Z28" s="7">
        <f>'Verification of Boxes'!J24</f>
        <v>0</v>
      </c>
      <c r="AA28" s="37">
        <f t="shared" si="24"/>
        <v>0</v>
      </c>
      <c r="AB28" s="5"/>
      <c r="AC28" s="5">
        <f t="shared" si="21"/>
        <v>0</v>
      </c>
      <c r="AD28" s="5"/>
      <c r="AE28" s="5">
        <f t="shared" si="25"/>
        <v>0</v>
      </c>
      <c r="AF28" s="5">
        <f t="shared" si="22"/>
        <v>0</v>
      </c>
      <c r="AG28" s="35">
        <f t="shared" si="23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0</v>
      </c>
      <c r="AU28" s="5">
        <f t="shared" si="26"/>
        <v>0</v>
      </c>
      <c r="AV28" s="5">
        <f>AV27+AU28</f>
        <v>1</v>
      </c>
      <c r="AW28" s="5">
        <f t="shared" si="27"/>
        <v>0</v>
      </c>
      <c r="BA28" s="3"/>
      <c r="BB28" s="3"/>
      <c r="BC28" s="2"/>
      <c r="BR28" s="19" t="s">
        <v>123</v>
      </c>
      <c r="BS28" s="63">
        <v>20</v>
      </c>
      <c r="BT28" s="119">
        <f t="shared" si="4"/>
        <v>20</v>
      </c>
      <c r="BU28" s="63"/>
      <c r="BV28" s="119">
        <f t="shared" si="5"/>
        <v>0</v>
      </c>
      <c r="BW28" s="63">
        <v>1</v>
      </c>
      <c r="BX28" s="119">
        <f t="shared" si="6"/>
        <v>0.06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20.059999999999999</v>
      </c>
    </row>
    <row r="29" spans="1:83" ht="13.5" thickBot="1" x14ac:dyDescent="0.35">
      <c r="A29" s="31">
        <f>IF('Stage 2'!A29&lt;&gt;0,'Stage 2'!A29,IF(I29&gt;=$M$3,"Elected",IF(BP26&lt;&gt;0,"Excluded",0)))</f>
        <v>0</v>
      </c>
      <c r="B29" s="235">
        <f>'Stage 2'!B29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 t="shared" si="12"/>
        <v>0</v>
      </c>
      <c r="I29" s="27">
        <f t="shared" si="13"/>
        <v>0</v>
      </c>
      <c r="J29" s="71"/>
      <c r="K29" s="27">
        <f t="shared" si="14"/>
        <v>0</v>
      </c>
      <c r="L29" s="71"/>
      <c r="M29" s="27">
        <f t="shared" si="15"/>
        <v>0</v>
      </c>
      <c r="N29" s="71"/>
      <c r="O29" s="27">
        <f t="shared" si="16"/>
        <v>0</v>
      </c>
      <c r="P29" s="71"/>
      <c r="Q29" s="27">
        <f t="shared" si="17"/>
        <v>0</v>
      </c>
      <c r="R29" s="71"/>
      <c r="S29" s="27">
        <f t="shared" si="18"/>
        <v>0</v>
      </c>
      <c r="T29" s="71"/>
      <c r="U29" s="27">
        <f t="shared" si="19"/>
        <v>0</v>
      </c>
      <c r="V29" s="69"/>
      <c r="W29" s="39">
        <f t="shared" si="20"/>
        <v>0</v>
      </c>
      <c r="Z29" s="7">
        <f>'Verification of Boxes'!J25</f>
        <v>0</v>
      </c>
      <c r="AA29" s="37">
        <f t="shared" si="24"/>
        <v>0</v>
      </c>
      <c r="AB29" s="5"/>
      <c r="AC29" s="5">
        <f t="shared" si="21"/>
        <v>0</v>
      </c>
      <c r="AD29" s="5"/>
      <c r="AE29" s="5">
        <f t="shared" si="25"/>
        <v>0</v>
      </c>
      <c r="AF29" s="5">
        <f t="shared" si="22"/>
        <v>0</v>
      </c>
      <c r="AG29" s="35">
        <f t="shared" si="23"/>
        <v>0</v>
      </c>
      <c r="AL29" s="330"/>
      <c r="AM29" s="331"/>
      <c r="AN29" s="331"/>
      <c r="AO29" s="331"/>
      <c r="AP29" s="331"/>
      <c r="AQ29" s="332"/>
      <c r="AT29" s="5">
        <f>AT28+AW29</f>
        <v>0</v>
      </c>
      <c r="AU29" s="5">
        <f t="shared" si="26"/>
        <v>0</v>
      </c>
      <c r="AV29" s="5">
        <f>AV28+AU29</f>
        <v>1</v>
      </c>
      <c r="AW29" s="5">
        <f t="shared" si="27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0</v>
      </c>
      <c r="BR29" s="5" t="s">
        <v>200</v>
      </c>
      <c r="BS29" s="118">
        <f>SUM(BS8:BS28)</f>
        <v>387</v>
      </c>
      <c r="BT29" s="5">
        <f t="shared" si="4"/>
        <v>387</v>
      </c>
      <c r="BU29" s="118">
        <f>SUM(BU8:BU28)</f>
        <v>0</v>
      </c>
      <c r="BV29" s="5">
        <f t="shared" si="5"/>
        <v>0</v>
      </c>
      <c r="BW29" s="118">
        <f>SUM(BW8:BW28)</f>
        <v>24</v>
      </c>
      <c r="BX29" s="5">
        <f t="shared" si="6"/>
        <v>1.44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388.44</v>
      </c>
    </row>
    <row r="30" spans="1:83" ht="14.25" customHeight="1" thickBot="1" x14ac:dyDescent="0.3">
      <c r="A30" s="138">
        <f>IF('Stage 2'!A30&lt;&gt;0,'Stage 2'!A30,IF(I30&gt;=$M$3,"Elected",IF(BP27&lt;&gt;0,"Excluded",0)))</f>
        <v>0</v>
      </c>
      <c r="B30" s="235">
        <f>'Stage 2'!B30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 t="shared" si="12"/>
        <v>0</v>
      </c>
      <c r="I30" s="27">
        <f t="shared" si="13"/>
        <v>0</v>
      </c>
      <c r="J30" s="71"/>
      <c r="K30" s="27">
        <f t="shared" si="14"/>
        <v>0</v>
      </c>
      <c r="L30" s="71"/>
      <c r="M30" s="27">
        <f t="shared" si="15"/>
        <v>0</v>
      </c>
      <c r="N30" s="71"/>
      <c r="O30" s="27">
        <f t="shared" si="16"/>
        <v>0</v>
      </c>
      <c r="P30" s="71"/>
      <c r="Q30" s="27">
        <f t="shared" si="17"/>
        <v>0</v>
      </c>
      <c r="R30" s="71"/>
      <c r="S30" s="27">
        <f t="shared" si="18"/>
        <v>0</v>
      </c>
      <c r="T30" s="71"/>
      <c r="U30" s="27">
        <f t="shared" si="19"/>
        <v>0</v>
      </c>
      <c r="V30" s="69"/>
      <c r="W30" s="39">
        <f t="shared" si="20"/>
        <v>0</v>
      </c>
      <c r="Z30" s="7">
        <f>'Verification of Boxes'!J26</f>
        <v>0</v>
      </c>
      <c r="AA30" s="37">
        <f t="shared" si="24"/>
        <v>0</v>
      </c>
      <c r="AB30" s="5"/>
      <c r="AC30" s="5">
        <f t="shared" si="21"/>
        <v>0</v>
      </c>
      <c r="AD30" s="5"/>
      <c r="AE30" s="5">
        <f t="shared" si="25"/>
        <v>0</v>
      </c>
      <c r="AF30" s="5">
        <f t="shared" si="22"/>
        <v>0</v>
      </c>
      <c r="AG30" s="35">
        <f t="shared" si="23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6"/>
        <v>0</v>
      </c>
      <c r="AV30" s="5">
        <f>AV29+AU30</f>
        <v>1</v>
      </c>
      <c r="AW30" s="5">
        <f t="shared" si="27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228</v>
      </c>
      <c r="BJ30" s="328"/>
      <c r="BK30" s="329"/>
      <c r="BX30" s="333" t="str">
        <f>IF(BW31=BW67,"Calculations OK","Check Count for Error")</f>
        <v>Calculations OK</v>
      </c>
      <c r="BY30" s="333"/>
    </row>
    <row r="31" spans="1:83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3">
        <f>$BK67</f>
        <v>20.059999999999999</v>
      </c>
      <c r="I31" s="40">
        <f t="shared" si="13"/>
        <v>20.079999999999995</v>
      </c>
      <c r="J31" s="72"/>
      <c r="K31" s="40">
        <f t="shared" si="14"/>
        <v>0</v>
      </c>
      <c r="L31" s="72"/>
      <c r="M31" s="40">
        <f t="shared" si="15"/>
        <v>0</v>
      </c>
      <c r="N31" s="72"/>
      <c r="O31" s="40">
        <f t="shared" si="16"/>
        <v>0</v>
      </c>
      <c r="P31" s="72"/>
      <c r="Q31" s="40">
        <f t="shared" si="17"/>
        <v>0</v>
      </c>
      <c r="R31" s="72"/>
      <c r="S31" s="40">
        <f t="shared" si="18"/>
        <v>0</v>
      </c>
      <c r="T31" s="72"/>
      <c r="U31" s="40">
        <f t="shared" si="19"/>
        <v>0</v>
      </c>
      <c r="V31" s="70"/>
      <c r="W31" s="41">
        <f t="shared" si="20"/>
        <v>0</v>
      </c>
      <c r="Z31" s="7">
        <f>'Verification of Boxes'!J27</f>
        <v>0</v>
      </c>
      <c r="AA31" s="37">
        <f t="shared" si="24"/>
        <v>0</v>
      </c>
      <c r="AB31" s="5"/>
      <c r="AC31" s="5">
        <f t="shared" si="21"/>
        <v>0</v>
      </c>
      <c r="AD31" s="5"/>
      <c r="AE31" s="5">
        <f t="shared" si="25"/>
        <v>0</v>
      </c>
      <c r="AF31" s="5">
        <f t="shared" si="22"/>
        <v>0</v>
      </c>
      <c r="AG31" s="35">
        <f t="shared" si="23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0</v>
      </c>
      <c r="AU31" s="5">
        <f t="shared" si="26"/>
        <v>0</v>
      </c>
      <c r="AV31" s="5">
        <f>AV30+AU31</f>
        <v>1</v>
      </c>
      <c r="AW31" s="5">
        <f t="shared" si="27"/>
        <v>0</v>
      </c>
      <c r="AZ31" t="s">
        <v>203</v>
      </c>
      <c r="BA31" s="3" t="s">
        <v>204</v>
      </c>
      <c r="BB31" s="3"/>
      <c r="BC31" s="50" t="b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V31" t="s">
        <v>119</v>
      </c>
      <c r="BW31" s="5">
        <f>BT29+BV29+BX29+BZ29+CB29+CD29</f>
        <v>388.44</v>
      </c>
      <c r="BX31" s="311"/>
      <c r="BY31" s="311"/>
      <c r="BZ31" s="5">
        <f>BW67-BW31</f>
        <v>0</v>
      </c>
      <c r="CB31" s="327" t="s">
        <v>228</v>
      </c>
      <c r="CC31" s="328"/>
      <c r="CD31" s="328"/>
      <c r="CE31" s="32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0"/>
      <c r="I32" s="49">
        <f>SUM(I11:I31)</f>
        <v>7496</v>
      </c>
      <c r="J32" s="191"/>
      <c r="K32" s="49">
        <f>SUM(K11:K31)</f>
        <v>0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7">
        <f>'Verification of Boxes'!J28</f>
        <v>0</v>
      </c>
      <c r="AA32" s="37">
        <f t="shared" si="24"/>
        <v>0</v>
      </c>
      <c r="AB32" s="5"/>
      <c r="AC32" s="5">
        <f t="shared" si="21"/>
        <v>0</v>
      </c>
      <c r="AD32" s="5"/>
      <c r="AE32" s="5">
        <f t="shared" si="25"/>
        <v>0</v>
      </c>
      <c r="AF32" s="5">
        <f t="shared" si="22"/>
        <v>0</v>
      </c>
      <c r="AG32" s="35">
        <f t="shared" si="23"/>
        <v>0</v>
      </c>
      <c r="AL32" s="330"/>
      <c r="AM32" s="331"/>
      <c r="AN32" s="331"/>
      <c r="AO32" s="331"/>
      <c r="AP32" s="331"/>
      <c r="AQ32" s="332"/>
      <c r="AT32" s="5">
        <f>AT31+AW32</f>
        <v>0</v>
      </c>
      <c r="AU32" s="5">
        <f t="shared" si="26"/>
        <v>0</v>
      </c>
      <c r="AV32" s="5">
        <f>AV31+AU32</f>
        <v>1</v>
      </c>
      <c r="AW32" s="5">
        <f t="shared" si="27"/>
        <v>0</v>
      </c>
      <c r="BF32" s="311"/>
      <c r="BG32" s="311"/>
      <c r="BX32" s="311"/>
      <c r="BY32" s="311"/>
      <c r="CB32" s="330"/>
      <c r="CC32" s="331"/>
      <c r="CD32" s="331"/>
      <c r="CE32" s="332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Z33" s="7">
        <f>'Verification of Boxes'!J29</f>
        <v>0</v>
      </c>
      <c r="AA33" s="37">
        <f t="shared" si="24"/>
        <v>0</v>
      </c>
      <c r="AB33" s="5"/>
      <c r="AC33" s="5">
        <f t="shared" si="21"/>
        <v>0</v>
      </c>
      <c r="AD33" s="5"/>
      <c r="AE33" s="90">
        <f t="shared" si="25"/>
        <v>0</v>
      </c>
      <c r="AF33" s="5">
        <f t="shared" si="22"/>
        <v>0</v>
      </c>
      <c r="AG33" s="35">
        <f t="shared" si="23"/>
        <v>0</v>
      </c>
    </row>
    <row r="34" spans="4:75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3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8" spans="4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8">AL39+AK40</f>
        <v>0</v>
      </c>
      <c r="AM40" s="5">
        <f t="shared" si="28"/>
        <v>0</v>
      </c>
      <c r="AN40" s="5">
        <f t="shared" si="28"/>
        <v>0</v>
      </c>
      <c r="AO40" s="5">
        <f t="shared" si="28"/>
        <v>0</v>
      </c>
      <c r="AP40" s="5">
        <f t="shared" si="28"/>
        <v>0</v>
      </c>
      <c r="AQ40" s="5">
        <f t="shared" si="28"/>
        <v>0</v>
      </c>
    </row>
    <row r="41" spans="4:75" ht="12.75" customHeight="1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9">IF(AK40=AL40,1,0)</f>
        <v>1</v>
      </c>
      <c r="AM41" s="5">
        <f t="shared" si="29"/>
        <v>1</v>
      </c>
      <c r="AN41" s="5">
        <f t="shared" si="29"/>
        <v>1</v>
      </c>
      <c r="AO41" s="5">
        <f t="shared" si="29"/>
        <v>1</v>
      </c>
      <c r="AP41" s="5">
        <f t="shared" si="29"/>
        <v>1</v>
      </c>
      <c r="AQ41" s="5">
        <f t="shared" si="29"/>
        <v>1</v>
      </c>
    </row>
    <row r="42" spans="4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30">IF(AM40=AL38,"add",0)</f>
        <v>0</v>
      </c>
      <c r="AM42" s="5">
        <f t="shared" si="30"/>
        <v>0</v>
      </c>
      <c r="AN42" s="5">
        <f t="shared" si="30"/>
        <v>0</v>
      </c>
      <c r="AO42" s="5">
        <f t="shared" si="30"/>
        <v>0</v>
      </c>
      <c r="AP42" s="5">
        <f t="shared" si="30"/>
        <v>0</v>
      </c>
      <c r="AQ42" s="5">
        <f t="shared" si="30"/>
        <v>0</v>
      </c>
    </row>
    <row r="43" spans="4:75" ht="18" customHeight="1" x14ac:dyDescent="0.25">
      <c r="Z43" s="250"/>
      <c r="AA43" s="250"/>
      <c r="AB43" s="250"/>
      <c r="AC43" s="250">
        <f>AG2</f>
        <v>58.599999999999909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MCEVOY</v>
      </c>
      <c r="AA44" s="250">
        <v>388.44</v>
      </c>
      <c r="AB44" s="250">
        <v>388.44</v>
      </c>
      <c r="AC44" s="250">
        <f>AC43+AA44</f>
        <v>447.03999999999991</v>
      </c>
      <c r="AD44" s="250"/>
      <c r="AE44" s="252" t="str">
        <f>IF(AC44&gt;$AG$4,0,IF(AC44&lt;AA45,"Exclude this candidate",0))</f>
        <v>Exclude this candidate</v>
      </c>
      <c r="AF44" s="250"/>
      <c r="AG44" s="250"/>
      <c r="AS44" s="2"/>
      <c r="AU44" s="2">
        <f>AU45+AR46</f>
        <v>674.24</v>
      </c>
      <c r="AW44" s="2">
        <f>AW45+AU44</f>
        <v>696</v>
      </c>
      <c r="AX44" s="2"/>
      <c r="BG44" t="s">
        <v>212</v>
      </c>
    </row>
    <row r="45" spans="4:75" ht="15.5" x14ac:dyDescent="0.35">
      <c r="Z45" s="253" t="str">
        <v>FRENCH</v>
      </c>
      <c r="AA45" s="250">
        <v>472.42</v>
      </c>
      <c r="AB45" s="250">
        <v>472.42</v>
      </c>
      <c r="AC45" s="250">
        <f>AC44+AA45</f>
        <v>919.45999999999992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  <c r="AS45" s="2"/>
      <c r="AU45" s="2">
        <f>MIN(AU46:AU65)</f>
        <v>45.82000000000005</v>
      </c>
      <c r="AW45" s="2">
        <f>MIN(AW46:AW65)</f>
        <v>21.759999999999991</v>
      </c>
      <c r="AX45" s="2"/>
    </row>
    <row r="46" spans="4:75" ht="37.5" x14ac:dyDescent="0.25">
      <c r="Z46" s="253" t="str">
        <v>FLYNN</v>
      </c>
      <c r="AA46" s="250">
        <v>493.42</v>
      </c>
      <c r="AB46" s="250">
        <v>493.42</v>
      </c>
      <c r="AC46" s="250">
        <f t="shared" ref="AC46:AC63" si="31">AC45+AA46</f>
        <v>1412.8799999999999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388.44</v>
      </c>
      <c r="AN46" s="2">
        <f>AN47+AL46</f>
        <v>472.42</v>
      </c>
      <c r="AP46" s="2">
        <f>AP47+AN46</f>
        <v>493.42</v>
      </c>
      <c r="AR46" s="2">
        <f>AR47+AP46</f>
        <v>628.41999999999996</v>
      </c>
      <c r="AT46" s="2">
        <f t="shared" ref="AT46:AT65" si="32">AR48-AR$47</f>
        <v>442.58</v>
      </c>
      <c r="AU46">
        <f t="shared" ref="AU46:AU65" si="33">IF(AT46&lt;&gt;0,AT46,1000000)</f>
        <v>442.58</v>
      </c>
      <c r="AV46" s="2">
        <f t="shared" ref="AV46:AV65" si="34">AU46-AU$45</f>
        <v>396.75999999999993</v>
      </c>
      <c r="AW46">
        <f t="shared" ref="AW46:AW65" si="35">IF(AV46&lt;&gt;0,AV46,1000000)</f>
        <v>396.75999999999993</v>
      </c>
      <c r="BE46" s="91" t="s">
        <v>213</v>
      </c>
      <c r="BI46" s="4" t="s">
        <v>214</v>
      </c>
      <c r="BJ46" s="4" t="s">
        <v>215</v>
      </c>
      <c r="BK46" s="4" t="s">
        <v>216</v>
      </c>
      <c r="BL46" s="91"/>
      <c r="BM46" s="91"/>
      <c r="BN46" s="91" t="s">
        <v>217</v>
      </c>
      <c r="BO46" s="91"/>
      <c r="BP46" s="91"/>
      <c r="BW46" t="s">
        <v>218</v>
      </c>
    </row>
    <row r="47" spans="4:75" x14ac:dyDescent="0.25">
      <c r="Z47" s="253" t="str">
        <v>PALMER</v>
      </c>
      <c r="AA47" s="250">
        <v>628.41999999999996</v>
      </c>
      <c r="AB47" s="250">
        <v>628.41999999999996</v>
      </c>
      <c r="AC47" s="250">
        <f t="shared" si="31"/>
        <v>2041.2999999999997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388.44</v>
      </c>
      <c r="AN47" s="2">
        <f>MIN(AN48:AN67)</f>
        <v>83.980000000000018</v>
      </c>
      <c r="AP47" s="2">
        <f>MIN(AP48:AP67)</f>
        <v>21</v>
      </c>
      <c r="AR47" s="2">
        <f>MIN(AR48:AR67)</f>
        <v>134.99999999999994</v>
      </c>
      <c r="AT47" s="2">
        <f t="shared" si="32"/>
        <v>999865</v>
      </c>
      <c r="AU47">
        <f t="shared" si="33"/>
        <v>999865</v>
      </c>
      <c r="AV47" s="2">
        <f t="shared" si="34"/>
        <v>999819.18</v>
      </c>
      <c r="AW47">
        <f t="shared" si="35"/>
        <v>999819.18</v>
      </c>
      <c r="BE47" s="5">
        <f>IF($BH5="y",$BE5,IF($BH6="y",$BE6,IF($BH7="y",$BE7,IF($BH8="y",$BE8,IF($BH9="y",$BE9,IF($BH10="y",$BE10,0))))))</f>
        <v>0</v>
      </c>
      <c r="BG47" s="125" t="str">
        <f t="shared" ref="BG47:BG66" si="36">BE5</f>
        <v>EWING</v>
      </c>
      <c r="BH47" s="126"/>
      <c r="BI47" s="5">
        <f t="shared" ref="BI47:BI66" si="37">IF(BE5=0,0,IF(BE5=BA$8,-BC$12,0))</f>
        <v>0</v>
      </c>
      <c r="BJ47" s="5">
        <f t="shared" ref="BJ47:BJ66" si="38">BN47</f>
        <v>0</v>
      </c>
      <c r="BK47" s="5">
        <f t="shared" ref="BK47:BK66" si="39">BG5+CE8+BJ47+BI47</f>
        <v>0</v>
      </c>
      <c r="BN47" s="5">
        <f t="shared" ref="BN47:BN66" si="40">IF(BP8="y",-BO8,0)</f>
        <v>0</v>
      </c>
      <c r="BW47" s="5">
        <f t="shared" ref="BW47:BW66" si="41">IF(BP8="y",BO8,0)</f>
        <v>0</v>
      </c>
    </row>
    <row r="48" spans="4:75" x14ac:dyDescent="0.25">
      <c r="Z48" s="253" t="str">
        <v>KENNEDY</v>
      </c>
      <c r="AA48" s="250">
        <v>674.24</v>
      </c>
      <c r="AB48" s="250">
        <v>674.24</v>
      </c>
      <c r="AC48" s="250">
        <f t="shared" si="31"/>
        <v>2715.54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J67" si="42">Z14</f>
        <v>EWING</v>
      </c>
      <c r="AK48" s="2">
        <f t="shared" ref="AK48:AK67" si="43">AA14</f>
        <v>1071</v>
      </c>
      <c r="AL48">
        <f>IF(AK48&lt;&gt;0,AK48,1000000)</f>
        <v>1071</v>
      </c>
      <c r="AM48" s="2">
        <f t="shared" ref="AM48:AM67" si="44">AL48-AL$47</f>
        <v>682.56</v>
      </c>
      <c r="AN48">
        <f>IF(AM48&lt;&gt;0,AM48,1000000)</f>
        <v>682.56</v>
      </c>
      <c r="AO48" s="2">
        <f t="shared" ref="AO48:AO67" si="45">AN48-AN$47</f>
        <v>598.57999999999993</v>
      </c>
      <c r="AP48">
        <f t="shared" ref="AP48:AP67" si="46">IF(AO48&lt;&gt;0,AO48,1000000)</f>
        <v>598.57999999999993</v>
      </c>
      <c r="AQ48" s="2">
        <f t="shared" ref="AQ48:AQ67" si="47">AP48-AP$47</f>
        <v>577.57999999999993</v>
      </c>
      <c r="AR48">
        <f t="shared" ref="AR48:AR67" si="48">IF(AQ48&lt;&gt;0,AQ48,1000000)</f>
        <v>577.57999999999993</v>
      </c>
      <c r="AT48" s="2">
        <f t="shared" si="32"/>
        <v>999844</v>
      </c>
      <c r="AU48">
        <f t="shared" si="33"/>
        <v>999844</v>
      </c>
      <c r="AV48" s="2">
        <f t="shared" si="34"/>
        <v>999798.18</v>
      </c>
      <c r="AW48">
        <f t="shared" si="35"/>
        <v>999798.18</v>
      </c>
      <c r="BE48" s="5">
        <f>IF($BH11="y",$BE11,IF($BH12="y",$BE12,IF($BH13="y",$BE13,IF($BH14="y",$BE14,IF($BH15="y",$BE15,IF($BH16="y",$BE16,0))))))</f>
        <v>0</v>
      </c>
      <c r="BG48" s="127" t="str">
        <f t="shared" si="36"/>
        <v>FLYNN</v>
      </c>
      <c r="BH48" s="128"/>
      <c r="BI48" s="5">
        <f t="shared" si="37"/>
        <v>0</v>
      </c>
      <c r="BJ48" s="5">
        <f t="shared" si="38"/>
        <v>0</v>
      </c>
      <c r="BK48" s="5">
        <f t="shared" si="39"/>
        <v>1</v>
      </c>
      <c r="BN48" s="5">
        <f t="shared" si="40"/>
        <v>0</v>
      </c>
      <c r="BW48" s="5">
        <f t="shared" si="41"/>
        <v>0</v>
      </c>
    </row>
    <row r="49" spans="26:75" ht="12.75" customHeight="1" x14ac:dyDescent="0.25">
      <c r="Z49" s="253" t="str">
        <v>PORTER</v>
      </c>
      <c r="AA49" s="250">
        <v>696</v>
      </c>
      <c r="AB49" s="250">
        <v>696</v>
      </c>
      <c r="AC49" s="250">
        <f t="shared" si="31"/>
        <v>3411.54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42"/>
        <v>FLYNN</v>
      </c>
      <c r="AK49" s="2">
        <f t="shared" si="43"/>
        <v>493.42</v>
      </c>
      <c r="AL49">
        <f t="shared" ref="AL49:AL67" si="49">IF(AK49&lt;&gt;0,AK49,1000000)</f>
        <v>493.42</v>
      </c>
      <c r="AM49" s="2">
        <f t="shared" si="44"/>
        <v>104.98000000000002</v>
      </c>
      <c r="AN49">
        <f t="shared" ref="AN49:AN67" si="50">IF(AM49&lt;&gt;0,AM49,1000000)</f>
        <v>104.98000000000002</v>
      </c>
      <c r="AO49" s="2">
        <f t="shared" si="45"/>
        <v>21</v>
      </c>
      <c r="AP49">
        <f t="shared" si="46"/>
        <v>21</v>
      </c>
      <c r="AQ49" s="2">
        <f t="shared" si="47"/>
        <v>0</v>
      </c>
      <c r="AR49">
        <f t="shared" si="48"/>
        <v>1000000</v>
      </c>
      <c r="AT49" s="2">
        <f t="shared" si="32"/>
        <v>461.17999999999989</v>
      </c>
      <c r="AU49">
        <f t="shared" si="33"/>
        <v>461.17999999999989</v>
      </c>
      <c r="AV49" s="2">
        <f t="shared" si="34"/>
        <v>415.35999999999984</v>
      </c>
      <c r="AW49">
        <f t="shared" si="35"/>
        <v>415.35999999999984</v>
      </c>
      <c r="BE49" s="5">
        <f>IF($BH17="y",$BE17,IF($BH18="y",$BE18,IF($BH19="y",$BE19,IF($BH20="y",$BE20,IF($BH21="y",$BE21,IF($BH22="y",$BE22,0))))))</f>
        <v>0</v>
      </c>
      <c r="BG49" s="127" t="str">
        <f t="shared" si="36"/>
        <v>FRENCH</v>
      </c>
      <c r="BH49" s="128"/>
      <c r="BI49" s="5">
        <f t="shared" si="37"/>
        <v>0</v>
      </c>
      <c r="BJ49" s="5">
        <f t="shared" si="38"/>
        <v>0</v>
      </c>
      <c r="BK49" s="5">
        <f t="shared" si="39"/>
        <v>4</v>
      </c>
      <c r="BN49" s="5">
        <f t="shared" si="40"/>
        <v>0</v>
      </c>
      <c r="BW49" s="5">
        <f t="shared" si="41"/>
        <v>0</v>
      </c>
    </row>
    <row r="50" spans="26:75" x14ac:dyDescent="0.25">
      <c r="Z50" s="253" t="str">
        <v>MITCHELL</v>
      </c>
      <c r="AA50" s="250">
        <v>871.44</v>
      </c>
      <c r="AB50" s="250">
        <v>871.44</v>
      </c>
      <c r="AC50" s="250">
        <f t="shared" si="31"/>
        <v>4282.9799999999996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42"/>
        <v>FRENCH</v>
      </c>
      <c r="AK50" s="2">
        <f t="shared" si="43"/>
        <v>472.42</v>
      </c>
      <c r="AL50">
        <f t="shared" si="49"/>
        <v>472.42</v>
      </c>
      <c r="AM50" s="2">
        <f t="shared" si="44"/>
        <v>83.980000000000018</v>
      </c>
      <c r="AN50">
        <f t="shared" si="50"/>
        <v>83.980000000000018</v>
      </c>
      <c r="AO50" s="2">
        <f t="shared" si="45"/>
        <v>0</v>
      </c>
      <c r="AP50">
        <f t="shared" si="46"/>
        <v>1000000</v>
      </c>
      <c r="AQ50" s="2">
        <f t="shared" si="47"/>
        <v>999979</v>
      </c>
      <c r="AR50">
        <f t="shared" si="48"/>
        <v>999979</v>
      </c>
      <c r="AT50" s="2">
        <f t="shared" si="32"/>
        <v>482.58</v>
      </c>
      <c r="AU50">
        <f t="shared" si="33"/>
        <v>482.58</v>
      </c>
      <c r="AV50" s="2">
        <f t="shared" si="34"/>
        <v>436.75999999999993</v>
      </c>
      <c r="AW50">
        <f t="shared" si="35"/>
        <v>436.75999999999993</v>
      </c>
      <c r="BE50" s="5">
        <f>IF($BH23="y",$BE23,IF($BH24="y",$BE24,0))</f>
        <v>0</v>
      </c>
      <c r="BG50" s="127" t="str">
        <f t="shared" si="36"/>
        <v>GIVAN</v>
      </c>
      <c r="BH50" s="128"/>
      <c r="BI50" s="5">
        <f t="shared" si="37"/>
        <v>0</v>
      </c>
      <c r="BJ50" s="5">
        <f t="shared" si="38"/>
        <v>0</v>
      </c>
      <c r="BK50" s="5">
        <f t="shared" si="39"/>
        <v>0</v>
      </c>
      <c r="BN50" s="5">
        <f t="shared" si="40"/>
        <v>0</v>
      </c>
      <c r="BW50" s="5">
        <f t="shared" si="41"/>
        <v>0</v>
      </c>
    </row>
    <row r="51" spans="26:75" x14ac:dyDescent="0.25">
      <c r="Z51" s="253" t="str">
        <v>EWING</v>
      </c>
      <c r="AA51" s="250">
        <v>1071</v>
      </c>
      <c r="AB51" s="250">
        <v>1071</v>
      </c>
      <c r="AC51" s="250">
        <f t="shared" si="31"/>
        <v>5353.98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42"/>
        <v>GIVAN</v>
      </c>
      <c r="AK51" s="2">
        <f t="shared" si="43"/>
        <v>1089.5999999999999</v>
      </c>
      <c r="AL51">
        <f t="shared" si="49"/>
        <v>1089.5999999999999</v>
      </c>
      <c r="AM51" s="2">
        <f t="shared" si="44"/>
        <v>701.15999999999985</v>
      </c>
      <c r="AN51">
        <f t="shared" si="50"/>
        <v>701.15999999999985</v>
      </c>
      <c r="AO51" s="2">
        <f t="shared" si="45"/>
        <v>617.17999999999984</v>
      </c>
      <c r="AP51">
        <f t="shared" si="46"/>
        <v>617.17999999999984</v>
      </c>
      <c r="AQ51" s="2">
        <f t="shared" si="47"/>
        <v>596.17999999999984</v>
      </c>
      <c r="AR51">
        <f t="shared" si="48"/>
        <v>596.17999999999984</v>
      </c>
      <c r="AT51" s="2">
        <f t="shared" si="32"/>
        <v>45.82000000000005</v>
      </c>
      <c r="AU51">
        <f t="shared" si="33"/>
        <v>45.82000000000005</v>
      </c>
      <c r="AV51" s="2">
        <f t="shared" si="34"/>
        <v>0</v>
      </c>
      <c r="AW51">
        <f t="shared" si="35"/>
        <v>1000000</v>
      </c>
      <c r="BG51" s="127" t="str">
        <f t="shared" si="36"/>
        <v>GREHAN</v>
      </c>
      <c r="BH51" s="128"/>
      <c r="BI51" s="5">
        <f t="shared" si="37"/>
        <v>0</v>
      </c>
      <c r="BJ51" s="5">
        <f t="shared" si="38"/>
        <v>0</v>
      </c>
      <c r="BK51" s="5">
        <f t="shared" si="39"/>
        <v>0</v>
      </c>
      <c r="BN51" s="5">
        <f t="shared" si="40"/>
        <v>0</v>
      </c>
      <c r="BW51" s="5">
        <f t="shared" si="41"/>
        <v>0</v>
      </c>
    </row>
    <row r="52" spans="26:75" x14ac:dyDescent="0.25">
      <c r="Z52" s="253" t="str">
        <v>GIVAN</v>
      </c>
      <c r="AA52" s="250">
        <v>1089.5999999999999</v>
      </c>
      <c r="AB52" s="250">
        <v>1089.5999999999999</v>
      </c>
      <c r="AC52" s="250">
        <f t="shared" si="31"/>
        <v>6443.58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42"/>
        <v>GREHAN</v>
      </c>
      <c r="AK52" s="2">
        <f t="shared" si="43"/>
        <v>1111</v>
      </c>
      <c r="AL52">
        <f t="shared" si="49"/>
        <v>1111</v>
      </c>
      <c r="AM52" s="2">
        <f t="shared" si="44"/>
        <v>722.56</v>
      </c>
      <c r="AN52">
        <f t="shared" si="50"/>
        <v>722.56</v>
      </c>
      <c r="AO52" s="2">
        <f t="shared" si="45"/>
        <v>638.57999999999993</v>
      </c>
      <c r="AP52">
        <f t="shared" si="46"/>
        <v>638.57999999999993</v>
      </c>
      <c r="AQ52" s="2">
        <f t="shared" si="47"/>
        <v>617.57999999999993</v>
      </c>
      <c r="AR52">
        <f t="shared" si="48"/>
        <v>617.57999999999993</v>
      </c>
      <c r="AT52" s="2">
        <f t="shared" si="32"/>
        <v>999760.02</v>
      </c>
      <c r="AU52">
        <f t="shared" si="33"/>
        <v>999760.02</v>
      </c>
      <c r="AV52" s="2">
        <f t="shared" si="34"/>
        <v>999714.20000000007</v>
      </c>
      <c r="AW52">
        <f t="shared" si="35"/>
        <v>999714.20000000007</v>
      </c>
      <c r="BG52" s="127" t="str">
        <f t="shared" si="36"/>
        <v>KENNEDY</v>
      </c>
      <c r="BH52" s="128"/>
      <c r="BI52" s="5">
        <f t="shared" si="37"/>
        <v>0</v>
      </c>
      <c r="BJ52" s="5">
        <f t="shared" si="38"/>
        <v>0</v>
      </c>
      <c r="BK52" s="5">
        <f t="shared" si="39"/>
        <v>3.06</v>
      </c>
      <c r="BN52" s="5">
        <f t="shared" si="40"/>
        <v>0</v>
      </c>
      <c r="BW52" s="5">
        <f t="shared" si="41"/>
        <v>0</v>
      </c>
    </row>
    <row r="53" spans="26:75" x14ac:dyDescent="0.25">
      <c r="Z53" s="253" t="str">
        <v>GREHAN</v>
      </c>
      <c r="AA53" s="250">
        <v>1111</v>
      </c>
      <c r="AB53" s="250">
        <v>1111</v>
      </c>
      <c r="AC53" s="250">
        <f t="shared" si="31"/>
        <v>7554.58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42"/>
        <v>KENNEDY</v>
      </c>
      <c r="AK53" s="2">
        <f t="shared" si="43"/>
        <v>674.24</v>
      </c>
      <c r="AL53">
        <f t="shared" si="49"/>
        <v>674.24</v>
      </c>
      <c r="AM53" s="2">
        <f t="shared" si="44"/>
        <v>285.8</v>
      </c>
      <c r="AN53">
        <f t="shared" si="50"/>
        <v>285.8</v>
      </c>
      <c r="AO53" s="2">
        <f t="shared" si="45"/>
        <v>201.82</v>
      </c>
      <c r="AP53">
        <f t="shared" si="46"/>
        <v>201.82</v>
      </c>
      <c r="AQ53" s="2">
        <f t="shared" si="47"/>
        <v>180.82</v>
      </c>
      <c r="AR53">
        <f t="shared" si="48"/>
        <v>180.82</v>
      </c>
      <c r="AT53" s="2">
        <f t="shared" si="32"/>
        <v>243.0200000000001</v>
      </c>
      <c r="AU53">
        <f t="shared" si="33"/>
        <v>243.0200000000001</v>
      </c>
      <c r="AV53" s="2">
        <f t="shared" si="34"/>
        <v>197.20000000000005</v>
      </c>
      <c r="AW53">
        <f t="shared" si="35"/>
        <v>197.20000000000005</v>
      </c>
      <c r="BG53" s="127" t="str">
        <f t="shared" si="36"/>
        <v>MCEVOY</v>
      </c>
      <c r="BH53" s="128"/>
      <c r="BI53" s="5">
        <f t="shared" si="37"/>
        <v>0</v>
      </c>
      <c r="BJ53" s="5">
        <f t="shared" si="38"/>
        <v>-388.44</v>
      </c>
      <c r="BK53" s="5">
        <f t="shared" si="39"/>
        <v>-388.44</v>
      </c>
      <c r="BN53" s="5">
        <f t="shared" si="40"/>
        <v>-388.44</v>
      </c>
      <c r="BW53" s="5">
        <f t="shared" si="41"/>
        <v>388.44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31"/>
        <v>7554.58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42"/>
        <v>MCEVOY</v>
      </c>
      <c r="AK54" s="2">
        <f t="shared" si="43"/>
        <v>388.44</v>
      </c>
      <c r="AL54">
        <f t="shared" si="49"/>
        <v>388.44</v>
      </c>
      <c r="AM54" s="2">
        <f t="shared" si="44"/>
        <v>0</v>
      </c>
      <c r="AN54">
        <f t="shared" si="50"/>
        <v>1000000</v>
      </c>
      <c r="AO54" s="2">
        <f t="shared" si="45"/>
        <v>999916.02</v>
      </c>
      <c r="AP54">
        <f t="shared" si="46"/>
        <v>999916.02</v>
      </c>
      <c r="AQ54" s="2">
        <f t="shared" si="47"/>
        <v>999895.02</v>
      </c>
      <c r="AR54">
        <f t="shared" si="48"/>
        <v>999895.02</v>
      </c>
      <c r="AT54" s="2">
        <f t="shared" si="32"/>
        <v>0</v>
      </c>
      <c r="AU54">
        <f t="shared" si="33"/>
        <v>1000000</v>
      </c>
      <c r="AV54" s="2">
        <f t="shared" si="34"/>
        <v>999954.18</v>
      </c>
      <c r="AW54">
        <f t="shared" si="35"/>
        <v>999954.18</v>
      </c>
      <c r="BG54" s="127" t="str">
        <f t="shared" si="36"/>
        <v>MITCHELL</v>
      </c>
      <c r="BH54" s="128"/>
      <c r="BI54" s="5">
        <f t="shared" si="37"/>
        <v>0</v>
      </c>
      <c r="BJ54" s="5">
        <f t="shared" si="38"/>
        <v>0</v>
      </c>
      <c r="BK54" s="5">
        <f t="shared" si="39"/>
        <v>91.42</v>
      </c>
      <c r="BN54" s="5">
        <f t="shared" si="40"/>
        <v>0</v>
      </c>
      <c r="BW54" s="5">
        <f t="shared" si="41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31"/>
        <v>7554.58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42"/>
        <v>MITCHELL</v>
      </c>
      <c r="AK55" s="2">
        <f t="shared" si="43"/>
        <v>871.44</v>
      </c>
      <c r="AL55">
        <f t="shared" si="49"/>
        <v>871.44</v>
      </c>
      <c r="AM55" s="2">
        <f t="shared" si="44"/>
        <v>483.00000000000006</v>
      </c>
      <c r="AN55">
        <f t="shared" si="50"/>
        <v>483.00000000000006</v>
      </c>
      <c r="AO55" s="2">
        <f t="shared" si="45"/>
        <v>399.02000000000004</v>
      </c>
      <c r="AP55">
        <f t="shared" si="46"/>
        <v>399.02000000000004</v>
      </c>
      <c r="AQ55" s="2">
        <f t="shared" si="47"/>
        <v>378.02000000000004</v>
      </c>
      <c r="AR55">
        <f t="shared" si="48"/>
        <v>378.02000000000004</v>
      </c>
      <c r="AT55" s="2">
        <f t="shared" si="32"/>
        <v>67.580000000000041</v>
      </c>
      <c r="AU55">
        <f t="shared" si="33"/>
        <v>67.580000000000041</v>
      </c>
      <c r="AV55" s="2">
        <f t="shared" si="34"/>
        <v>21.759999999999991</v>
      </c>
      <c r="AW55">
        <f t="shared" si="35"/>
        <v>21.759999999999991</v>
      </c>
      <c r="BG55" s="127" t="str">
        <f t="shared" si="36"/>
        <v>PALMER</v>
      </c>
      <c r="BH55" s="128"/>
      <c r="BI55" s="5">
        <f t="shared" si="37"/>
        <v>0</v>
      </c>
      <c r="BJ55" s="5">
        <f t="shared" si="38"/>
        <v>0</v>
      </c>
      <c r="BK55" s="5">
        <f t="shared" si="39"/>
        <v>64.48</v>
      </c>
      <c r="BN55" s="5">
        <f t="shared" si="40"/>
        <v>0</v>
      </c>
      <c r="BW55" s="5">
        <f t="shared" si="41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1"/>
        <v>7554.58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42"/>
        <v>PALMER</v>
      </c>
      <c r="AK56" s="2">
        <f t="shared" si="43"/>
        <v>628.41999999999996</v>
      </c>
      <c r="AL56">
        <f t="shared" si="49"/>
        <v>628.41999999999996</v>
      </c>
      <c r="AM56" s="2">
        <f t="shared" si="44"/>
        <v>239.97999999999996</v>
      </c>
      <c r="AN56">
        <f t="shared" si="50"/>
        <v>239.97999999999996</v>
      </c>
      <c r="AO56" s="2">
        <f t="shared" si="45"/>
        <v>155.99999999999994</v>
      </c>
      <c r="AP56">
        <f t="shared" si="46"/>
        <v>155.99999999999994</v>
      </c>
      <c r="AQ56" s="2">
        <f t="shared" si="47"/>
        <v>134.99999999999994</v>
      </c>
      <c r="AR56">
        <f t="shared" si="48"/>
        <v>134.99999999999994</v>
      </c>
      <c r="AT56" s="2">
        <f t="shared" si="32"/>
        <v>999371.58000000007</v>
      </c>
      <c r="AU56">
        <f t="shared" si="33"/>
        <v>999371.58000000007</v>
      </c>
      <c r="AV56" s="2">
        <f t="shared" si="34"/>
        <v>999325.76000000013</v>
      </c>
      <c r="AW56">
        <f t="shared" si="35"/>
        <v>999325.76000000013</v>
      </c>
      <c r="BG56" s="127" t="str">
        <f t="shared" si="36"/>
        <v>PORTER</v>
      </c>
      <c r="BH56" s="128"/>
      <c r="BI56" s="5">
        <f t="shared" si="37"/>
        <v>0</v>
      </c>
      <c r="BJ56" s="5">
        <f t="shared" si="38"/>
        <v>0</v>
      </c>
      <c r="BK56" s="5">
        <f t="shared" si="39"/>
        <v>204.42</v>
      </c>
      <c r="BN56" s="5">
        <f t="shared" si="40"/>
        <v>0</v>
      </c>
      <c r="BW56" s="5">
        <f t="shared" si="41"/>
        <v>0</v>
      </c>
    </row>
    <row r="57" spans="26:75" ht="12.75" customHeight="1" x14ac:dyDescent="0.25">
      <c r="Z57" s="253">
        <v>0</v>
      </c>
      <c r="AA57" s="250">
        <v>0</v>
      </c>
      <c r="AB57" s="250">
        <v>1000000</v>
      </c>
      <c r="AC57" s="250">
        <f t="shared" si="31"/>
        <v>7554.58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42"/>
        <v>PORTER</v>
      </c>
      <c r="AK57" s="2">
        <f t="shared" si="43"/>
        <v>696</v>
      </c>
      <c r="AL57">
        <f t="shared" si="49"/>
        <v>696</v>
      </c>
      <c r="AM57" s="2">
        <f t="shared" si="44"/>
        <v>307.56</v>
      </c>
      <c r="AN57">
        <f t="shared" si="50"/>
        <v>307.56</v>
      </c>
      <c r="AO57" s="2">
        <f t="shared" si="45"/>
        <v>223.57999999999998</v>
      </c>
      <c r="AP57">
        <f t="shared" si="46"/>
        <v>223.57999999999998</v>
      </c>
      <c r="AQ57" s="2">
        <f t="shared" si="47"/>
        <v>202.57999999999998</v>
      </c>
      <c r="AR57">
        <f t="shared" si="48"/>
        <v>202.57999999999998</v>
      </c>
      <c r="AT57" s="2">
        <f t="shared" si="32"/>
        <v>999371.58000000007</v>
      </c>
      <c r="AU57">
        <f t="shared" si="33"/>
        <v>999371.58000000007</v>
      </c>
      <c r="AV57" s="2">
        <f t="shared" si="34"/>
        <v>999325.76000000013</v>
      </c>
      <c r="AW57">
        <f t="shared" si="35"/>
        <v>999325.76000000013</v>
      </c>
      <c r="BG57" s="127">
        <f t="shared" si="36"/>
        <v>0</v>
      </c>
      <c r="BH57" s="128"/>
      <c r="BI57" s="5">
        <f t="shared" si="37"/>
        <v>0</v>
      </c>
      <c r="BJ57" s="5">
        <f t="shared" si="38"/>
        <v>0</v>
      </c>
      <c r="BK57" s="5">
        <f t="shared" si="39"/>
        <v>0</v>
      </c>
      <c r="BN57" s="5">
        <f t="shared" si="40"/>
        <v>0</v>
      </c>
      <c r="BW57" s="5">
        <f t="shared" si="41"/>
        <v>0</v>
      </c>
    </row>
    <row r="58" spans="26:75" ht="12.75" customHeight="1" x14ac:dyDescent="0.25">
      <c r="Z58" s="253">
        <v>0</v>
      </c>
      <c r="AA58" s="250">
        <v>0</v>
      </c>
      <c r="AB58" s="250">
        <v>1000000</v>
      </c>
      <c r="AC58" s="250">
        <f t="shared" si="31"/>
        <v>7554.58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42"/>
        <v>0</v>
      </c>
      <c r="AK58" s="2">
        <f t="shared" si="43"/>
        <v>0</v>
      </c>
      <c r="AL58">
        <f t="shared" si="49"/>
        <v>1000000</v>
      </c>
      <c r="AM58" s="2">
        <f t="shared" si="44"/>
        <v>999611.56</v>
      </c>
      <c r="AN58">
        <f t="shared" si="50"/>
        <v>999611.56</v>
      </c>
      <c r="AO58" s="2">
        <f t="shared" si="45"/>
        <v>999527.58000000007</v>
      </c>
      <c r="AP58">
        <f t="shared" si="46"/>
        <v>999527.58000000007</v>
      </c>
      <c r="AQ58" s="2">
        <f t="shared" si="47"/>
        <v>999506.58000000007</v>
      </c>
      <c r="AR58">
        <f t="shared" si="48"/>
        <v>999506.58000000007</v>
      </c>
      <c r="AT58" s="2">
        <f t="shared" si="32"/>
        <v>999371.58000000007</v>
      </c>
      <c r="AU58">
        <f t="shared" si="33"/>
        <v>999371.58000000007</v>
      </c>
      <c r="AV58" s="2">
        <f t="shared" si="34"/>
        <v>999325.76000000013</v>
      </c>
      <c r="AW58">
        <f t="shared" si="35"/>
        <v>999325.76000000013</v>
      </c>
      <c r="BG58" s="127">
        <f t="shared" si="36"/>
        <v>0</v>
      </c>
      <c r="BH58" s="128"/>
      <c r="BI58" s="5">
        <f t="shared" si="37"/>
        <v>0</v>
      </c>
      <c r="BJ58" s="5">
        <f t="shared" si="38"/>
        <v>0</v>
      </c>
      <c r="BK58" s="5">
        <f t="shared" si="39"/>
        <v>0</v>
      </c>
      <c r="BN58" s="5">
        <f t="shared" si="40"/>
        <v>0</v>
      </c>
      <c r="BW58" s="5">
        <f t="shared" si="41"/>
        <v>0</v>
      </c>
    </row>
    <row r="59" spans="26:75" x14ac:dyDescent="0.25">
      <c r="Z59" s="253">
        <v>0</v>
      </c>
      <c r="AA59" s="250">
        <v>0</v>
      </c>
      <c r="AB59" s="250">
        <v>1000000</v>
      </c>
      <c r="AC59" s="250">
        <f t="shared" si="31"/>
        <v>7554.58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42"/>
        <v>0</v>
      </c>
      <c r="AK59" s="2">
        <f t="shared" si="43"/>
        <v>0</v>
      </c>
      <c r="AL59">
        <f t="shared" si="49"/>
        <v>1000000</v>
      </c>
      <c r="AM59" s="2">
        <f t="shared" si="44"/>
        <v>999611.56</v>
      </c>
      <c r="AN59">
        <f t="shared" si="50"/>
        <v>999611.56</v>
      </c>
      <c r="AO59" s="2">
        <f t="shared" si="45"/>
        <v>999527.58000000007</v>
      </c>
      <c r="AP59">
        <f t="shared" si="46"/>
        <v>999527.58000000007</v>
      </c>
      <c r="AQ59" s="2">
        <f t="shared" si="47"/>
        <v>999506.58000000007</v>
      </c>
      <c r="AR59">
        <f t="shared" si="48"/>
        <v>999506.58000000007</v>
      </c>
      <c r="AT59" s="2">
        <f t="shared" si="32"/>
        <v>999371.58000000007</v>
      </c>
      <c r="AU59">
        <f t="shared" si="33"/>
        <v>999371.58000000007</v>
      </c>
      <c r="AV59" s="2">
        <f t="shared" si="34"/>
        <v>999325.76000000013</v>
      </c>
      <c r="AW59">
        <f t="shared" si="35"/>
        <v>999325.76000000013</v>
      </c>
      <c r="BG59" s="127">
        <f t="shared" si="36"/>
        <v>0</v>
      </c>
      <c r="BH59" s="128"/>
      <c r="BI59" s="5">
        <f t="shared" si="37"/>
        <v>0</v>
      </c>
      <c r="BJ59" s="5">
        <f t="shared" si="38"/>
        <v>0</v>
      </c>
      <c r="BK59" s="5">
        <f t="shared" si="39"/>
        <v>0</v>
      </c>
      <c r="BN59" s="5">
        <f t="shared" si="40"/>
        <v>0</v>
      </c>
      <c r="BW59" s="5">
        <f t="shared" si="41"/>
        <v>0</v>
      </c>
    </row>
    <row r="60" spans="26:75" x14ac:dyDescent="0.25">
      <c r="Z60" s="253">
        <v>0</v>
      </c>
      <c r="AA60" s="250">
        <v>0</v>
      </c>
      <c r="AB60" s="250">
        <v>1000000</v>
      </c>
      <c r="AC60" s="250">
        <f t="shared" si="31"/>
        <v>7554.58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42"/>
        <v>0</v>
      </c>
      <c r="AK60" s="2">
        <f t="shared" si="43"/>
        <v>0</v>
      </c>
      <c r="AL60">
        <f t="shared" si="49"/>
        <v>1000000</v>
      </c>
      <c r="AM60" s="2">
        <f t="shared" si="44"/>
        <v>999611.56</v>
      </c>
      <c r="AN60">
        <f t="shared" si="50"/>
        <v>999611.56</v>
      </c>
      <c r="AO60" s="2">
        <f t="shared" si="45"/>
        <v>999527.58000000007</v>
      </c>
      <c r="AP60">
        <f t="shared" si="46"/>
        <v>999527.58000000007</v>
      </c>
      <c r="AQ60" s="2">
        <f t="shared" si="47"/>
        <v>999506.58000000007</v>
      </c>
      <c r="AR60">
        <f t="shared" si="48"/>
        <v>999506.58000000007</v>
      </c>
      <c r="AT60" s="2">
        <f t="shared" si="32"/>
        <v>999371.58000000007</v>
      </c>
      <c r="AU60">
        <f t="shared" si="33"/>
        <v>999371.58000000007</v>
      </c>
      <c r="AV60" s="2">
        <f t="shared" si="34"/>
        <v>999325.76000000013</v>
      </c>
      <c r="AW60">
        <f t="shared" si="35"/>
        <v>999325.76000000013</v>
      </c>
      <c r="BG60" s="127">
        <f t="shared" si="36"/>
        <v>0</v>
      </c>
      <c r="BH60" s="128"/>
      <c r="BI60" s="5">
        <f t="shared" si="37"/>
        <v>0</v>
      </c>
      <c r="BJ60" s="5">
        <f t="shared" si="38"/>
        <v>0</v>
      </c>
      <c r="BK60" s="5">
        <f t="shared" si="39"/>
        <v>0</v>
      </c>
      <c r="BN60" s="5">
        <f t="shared" si="40"/>
        <v>0</v>
      </c>
      <c r="BW60" s="5">
        <f t="shared" si="41"/>
        <v>0</v>
      </c>
    </row>
    <row r="61" spans="26:75" ht="13.5" customHeight="1" x14ac:dyDescent="0.25">
      <c r="Z61" s="253">
        <v>0</v>
      </c>
      <c r="AA61" s="250">
        <v>0</v>
      </c>
      <c r="AB61" s="250">
        <v>1000000</v>
      </c>
      <c r="AC61" s="250">
        <f t="shared" si="31"/>
        <v>7554.58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42"/>
        <v>0</v>
      </c>
      <c r="AK61" s="2">
        <f t="shared" si="43"/>
        <v>0</v>
      </c>
      <c r="AL61">
        <f t="shared" si="49"/>
        <v>1000000</v>
      </c>
      <c r="AM61" s="2">
        <f t="shared" si="44"/>
        <v>999611.56</v>
      </c>
      <c r="AN61">
        <f t="shared" si="50"/>
        <v>999611.56</v>
      </c>
      <c r="AO61" s="2">
        <f t="shared" si="45"/>
        <v>999527.58000000007</v>
      </c>
      <c r="AP61">
        <f t="shared" si="46"/>
        <v>999527.58000000007</v>
      </c>
      <c r="AQ61" s="2">
        <f t="shared" si="47"/>
        <v>999506.58000000007</v>
      </c>
      <c r="AR61">
        <f t="shared" si="48"/>
        <v>999506.58000000007</v>
      </c>
      <c r="AT61" s="2">
        <f t="shared" si="32"/>
        <v>999371.58000000007</v>
      </c>
      <c r="AU61">
        <f t="shared" si="33"/>
        <v>999371.58000000007</v>
      </c>
      <c r="AV61" s="2">
        <f t="shared" si="34"/>
        <v>999325.76000000013</v>
      </c>
      <c r="AW61">
        <f t="shared" si="35"/>
        <v>999325.76000000013</v>
      </c>
      <c r="BG61" s="127">
        <f t="shared" si="36"/>
        <v>0</v>
      </c>
      <c r="BH61" s="128"/>
      <c r="BI61" s="5">
        <f t="shared" si="37"/>
        <v>0</v>
      </c>
      <c r="BJ61" s="5">
        <f t="shared" si="38"/>
        <v>0</v>
      </c>
      <c r="BK61" s="5">
        <f t="shared" si="39"/>
        <v>0</v>
      </c>
      <c r="BN61" s="5">
        <f t="shared" si="40"/>
        <v>0</v>
      </c>
      <c r="BW61" s="5">
        <f t="shared" si="41"/>
        <v>0</v>
      </c>
    </row>
    <row r="62" spans="26:75" ht="15" customHeight="1" x14ac:dyDescent="0.25">
      <c r="Z62" s="253">
        <v>0</v>
      </c>
      <c r="AA62" s="250">
        <v>0</v>
      </c>
      <c r="AB62" s="250">
        <v>1000000</v>
      </c>
      <c r="AC62" s="250">
        <f t="shared" si="31"/>
        <v>7554.58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42"/>
        <v>0</v>
      </c>
      <c r="AK62" s="2">
        <f t="shared" si="43"/>
        <v>0</v>
      </c>
      <c r="AL62">
        <f t="shared" si="49"/>
        <v>1000000</v>
      </c>
      <c r="AM62" s="2">
        <f t="shared" si="44"/>
        <v>999611.56</v>
      </c>
      <c r="AN62">
        <f t="shared" si="50"/>
        <v>999611.56</v>
      </c>
      <c r="AO62" s="2">
        <f t="shared" si="45"/>
        <v>999527.58000000007</v>
      </c>
      <c r="AP62">
        <f t="shared" si="46"/>
        <v>999527.58000000007</v>
      </c>
      <c r="AQ62" s="2">
        <f t="shared" si="47"/>
        <v>999506.58000000007</v>
      </c>
      <c r="AR62">
        <f t="shared" si="48"/>
        <v>999506.58000000007</v>
      </c>
      <c r="AT62" s="2">
        <f t="shared" si="32"/>
        <v>999371.58000000007</v>
      </c>
      <c r="AU62">
        <f t="shared" si="33"/>
        <v>999371.58000000007</v>
      </c>
      <c r="AV62" s="2">
        <f t="shared" si="34"/>
        <v>999325.76000000013</v>
      </c>
      <c r="AW62">
        <f t="shared" si="35"/>
        <v>999325.76000000013</v>
      </c>
      <c r="BG62" s="127">
        <f t="shared" si="36"/>
        <v>0</v>
      </c>
      <c r="BH62" s="128"/>
      <c r="BI62" s="5">
        <f t="shared" si="37"/>
        <v>0</v>
      </c>
      <c r="BJ62" s="5">
        <f t="shared" si="38"/>
        <v>0</v>
      </c>
      <c r="BK62" s="5">
        <f t="shared" si="39"/>
        <v>0</v>
      </c>
      <c r="BN62" s="5">
        <f t="shared" si="40"/>
        <v>0</v>
      </c>
      <c r="BW62" s="5">
        <f t="shared" si="41"/>
        <v>0</v>
      </c>
    </row>
    <row r="63" spans="26:75" x14ac:dyDescent="0.25">
      <c r="Z63" s="253">
        <v>0</v>
      </c>
      <c r="AA63" s="250">
        <v>0</v>
      </c>
      <c r="AB63" s="250">
        <v>1000000</v>
      </c>
      <c r="AC63" s="250">
        <f t="shared" si="31"/>
        <v>7554.58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42"/>
        <v>0</v>
      </c>
      <c r="AK63" s="2">
        <f t="shared" si="43"/>
        <v>0</v>
      </c>
      <c r="AL63">
        <f t="shared" si="49"/>
        <v>1000000</v>
      </c>
      <c r="AM63" s="2">
        <f t="shared" si="44"/>
        <v>999611.56</v>
      </c>
      <c r="AN63">
        <f t="shared" si="50"/>
        <v>999611.56</v>
      </c>
      <c r="AO63" s="2">
        <f t="shared" si="45"/>
        <v>999527.58000000007</v>
      </c>
      <c r="AP63">
        <f t="shared" si="46"/>
        <v>999527.58000000007</v>
      </c>
      <c r="AQ63" s="2">
        <f t="shared" si="47"/>
        <v>999506.58000000007</v>
      </c>
      <c r="AR63">
        <f t="shared" si="48"/>
        <v>999506.58000000007</v>
      </c>
      <c r="AT63" s="2">
        <f t="shared" si="32"/>
        <v>999371.58000000007</v>
      </c>
      <c r="AU63">
        <f t="shared" si="33"/>
        <v>999371.58000000007</v>
      </c>
      <c r="AV63" s="2">
        <f t="shared" si="34"/>
        <v>999325.76000000013</v>
      </c>
      <c r="AW63">
        <f t="shared" si="35"/>
        <v>999325.76000000013</v>
      </c>
      <c r="BG63" s="127">
        <f t="shared" si="36"/>
        <v>0</v>
      </c>
      <c r="BH63" s="128"/>
      <c r="BI63" s="5">
        <f t="shared" si="37"/>
        <v>0</v>
      </c>
      <c r="BJ63" s="5">
        <f t="shared" si="38"/>
        <v>0</v>
      </c>
      <c r="BK63" s="5">
        <f t="shared" si="39"/>
        <v>0</v>
      </c>
      <c r="BN63" s="5">
        <f t="shared" si="40"/>
        <v>0</v>
      </c>
      <c r="BW63" s="5">
        <f t="shared" si="41"/>
        <v>0</v>
      </c>
    </row>
    <row r="64" spans="26:75" ht="14.25" customHeight="1" x14ac:dyDescent="0.25">
      <c r="AJ64">
        <f t="shared" si="42"/>
        <v>0</v>
      </c>
      <c r="AK64" s="2">
        <f t="shared" si="43"/>
        <v>0</v>
      </c>
      <c r="AL64">
        <f t="shared" si="49"/>
        <v>1000000</v>
      </c>
      <c r="AM64" s="2">
        <f t="shared" si="44"/>
        <v>999611.56</v>
      </c>
      <c r="AN64">
        <f t="shared" si="50"/>
        <v>999611.56</v>
      </c>
      <c r="AO64" s="2">
        <f t="shared" si="45"/>
        <v>999527.58000000007</v>
      </c>
      <c r="AP64">
        <f t="shared" si="46"/>
        <v>999527.58000000007</v>
      </c>
      <c r="AQ64" s="2">
        <f t="shared" si="47"/>
        <v>999506.58000000007</v>
      </c>
      <c r="AR64">
        <f t="shared" si="48"/>
        <v>999506.58000000007</v>
      </c>
      <c r="AT64" s="2">
        <f t="shared" si="32"/>
        <v>999371.58000000007</v>
      </c>
      <c r="AU64">
        <f t="shared" si="33"/>
        <v>999371.58000000007</v>
      </c>
      <c r="AV64" s="2">
        <f t="shared" si="34"/>
        <v>999325.76000000013</v>
      </c>
      <c r="AW64">
        <f t="shared" si="35"/>
        <v>999325.76000000013</v>
      </c>
      <c r="BG64" s="127">
        <f t="shared" si="36"/>
        <v>0</v>
      </c>
      <c r="BH64" s="128"/>
      <c r="BI64" s="5">
        <f t="shared" si="37"/>
        <v>0</v>
      </c>
      <c r="BJ64" s="5">
        <f t="shared" si="38"/>
        <v>0</v>
      </c>
      <c r="BK64" s="5">
        <f t="shared" si="39"/>
        <v>0</v>
      </c>
      <c r="BN64" s="5">
        <f t="shared" si="40"/>
        <v>0</v>
      </c>
      <c r="BW64" s="5">
        <f t="shared" si="41"/>
        <v>0</v>
      </c>
    </row>
    <row r="65" spans="36:75" x14ac:dyDescent="0.25">
      <c r="AJ65">
        <f t="shared" si="42"/>
        <v>0</v>
      </c>
      <c r="AK65" s="2">
        <f t="shared" si="43"/>
        <v>0</v>
      </c>
      <c r="AL65">
        <f t="shared" si="49"/>
        <v>1000000</v>
      </c>
      <c r="AM65" s="2">
        <f t="shared" si="44"/>
        <v>999611.56</v>
      </c>
      <c r="AN65">
        <f t="shared" si="50"/>
        <v>999611.56</v>
      </c>
      <c r="AO65" s="2">
        <f t="shared" si="45"/>
        <v>999527.58000000007</v>
      </c>
      <c r="AP65">
        <f t="shared" si="46"/>
        <v>999527.58000000007</v>
      </c>
      <c r="AQ65" s="2">
        <f t="shared" si="47"/>
        <v>999506.58000000007</v>
      </c>
      <c r="AR65">
        <f t="shared" si="48"/>
        <v>999506.58000000007</v>
      </c>
      <c r="AT65" s="2">
        <f t="shared" si="32"/>
        <v>999371.58000000007</v>
      </c>
      <c r="AU65">
        <f t="shared" si="33"/>
        <v>999371.58000000007</v>
      </c>
      <c r="AV65" s="2">
        <f t="shared" si="34"/>
        <v>999325.76000000013</v>
      </c>
      <c r="AW65">
        <f t="shared" si="35"/>
        <v>999325.76000000013</v>
      </c>
      <c r="BG65" s="127">
        <f t="shared" si="36"/>
        <v>0</v>
      </c>
      <c r="BH65" s="128"/>
      <c r="BI65" s="5">
        <f t="shared" si="37"/>
        <v>0</v>
      </c>
      <c r="BJ65" s="5">
        <f t="shared" si="38"/>
        <v>0</v>
      </c>
      <c r="BK65" s="5">
        <f t="shared" si="39"/>
        <v>0</v>
      </c>
      <c r="BN65" s="5">
        <f t="shared" si="40"/>
        <v>0</v>
      </c>
      <c r="BW65" s="5">
        <f t="shared" si="41"/>
        <v>0</v>
      </c>
    </row>
    <row r="66" spans="36:75" x14ac:dyDescent="0.25">
      <c r="AJ66">
        <f t="shared" si="42"/>
        <v>0</v>
      </c>
      <c r="AK66" s="2">
        <f t="shared" si="43"/>
        <v>0</v>
      </c>
      <c r="AL66">
        <f t="shared" si="49"/>
        <v>1000000</v>
      </c>
      <c r="AM66" s="2">
        <f t="shared" si="44"/>
        <v>999611.56</v>
      </c>
      <c r="AN66">
        <f t="shared" si="50"/>
        <v>999611.56</v>
      </c>
      <c r="AO66" s="2">
        <f t="shared" si="45"/>
        <v>999527.58000000007</v>
      </c>
      <c r="AP66">
        <f t="shared" si="46"/>
        <v>999527.58000000007</v>
      </c>
      <c r="AQ66" s="2">
        <f t="shared" si="47"/>
        <v>999506.58000000007</v>
      </c>
      <c r="AR66">
        <f t="shared" si="48"/>
        <v>999506.58000000007</v>
      </c>
      <c r="BG66" s="129">
        <f t="shared" si="36"/>
        <v>0</v>
      </c>
      <c r="BH66" s="130"/>
      <c r="BI66" s="5">
        <f t="shared" si="37"/>
        <v>0</v>
      </c>
      <c r="BJ66" s="5">
        <f t="shared" si="38"/>
        <v>0</v>
      </c>
      <c r="BK66" s="5">
        <f t="shared" si="39"/>
        <v>0</v>
      </c>
      <c r="BN66" s="5">
        <f t="shared" si="40"/>
        <v>0</v>
      </c>
      <c r="BW66" s="5">
        <f t="shared" si="41"/>
        <v>0</v>
      </c>
    </row>
    <row r="67" spans="36:75" ht="12.75" customHeight="1" x14ac:dyDescent="0.25">
      <c r="AJ67">
        <f t="shared" si="42"/>
        <v>0</v>
      </c>
      <c r="AK67" s="2">
        <f t="shared" si="43"/>
        <v>0</v>
      </c>
      <c r="AL67">
        <f t="shared" si="49"/>
        <v>1000000</v>
      </c>
      <c r="AM67" s="2">
        <f t="shared" si="44"/>
        <v>999611.56</v>
      </c>
      <c r="AN67">
        <f t="shared" si="50"/>
        <v>999611.56</v>
      </c>
      <c r="AO67" s="2">
        <f t="shared" si="45"/>
        <v>999527.58000000007</v>
      </c>
      <c r="AP67">
        <f t="shared" si="46"/>
        <v>999527.58000000007</v>
      </c>
      <c r="AQ67" s="2">
        <f t="shared" si="47"/>
        <v>999506.58000000007</v>
      </c>
      <c r="AR67">
        <f t="shared" si="48"/>
        <v>999506.58000000007</v>
      </c>
      <c r="BG67" t="s">
        <v>219</v>
      </c>
      <c r="BI67" s="5">
        <f>BG26</f>
        <v>0</v>
      </c>
      <c r="BJ67" s="5">
        <f>CE28</f>
        <v>20.059999999999999</v>
      </c>
      <c r="BK67" s="5">
        <f>BI67+BJ67</f>
        <v>20.059999999999999</v>
      </c>
      <c r="BW67" s="5">
        <f>SUM(BW47:BW66)</f>
        <v>388.44</v>
      </c>
    </row>
    <row r="68" spans="36:75" x14ac:dyDescent="0.25">
      <c r="BK68" s="5">
        <f>BG27+CE29</f>
        <v>388.44</v>
      </c>
    </row>
    <row r="80" spans="36:75" x14ac:dyDescent="0.25">
      <c r="AS80" s="19"/>
      <c r="AT80" s="5">
        <f>SUM(AO82:AR82)</f>
        <v>1</v>
      </c>
    </row>
    <row r="81" spans="41:46" x14ac:dyDescent="0.25">
      <c r="AS81" s="19"/>
      <c r="AT81" s="5">
        <f t="shared" ref="AT81:AT86" si="51">SUM(AO83:AR83)</f>
        <v>0</v>
      </c>
    </row>
    <row r="82" spans="41:46" x14ac:dyDescent="0.25">
      <c r="AO82" s="5">
        <f t="shared" ref="AO82:AO88" si="52">IF(AO20&lt;&gt;0,1,0)</f>
        <v>1</v>
      </c>
      <c r="AP82" s="5"/>
      <c r="AQ82" s="5">
        <f t="shared" ref="AQ82:AR88" si="53">IF(AQ20&lt;&gt;0,1,0)</f>
        <v>0</v>
      </c>
      <c r="AR82" s="19">
        <f t="shared" si="53"/>
        <v>0</v>
      </c>
      <c r="AS82" s="19"/>
      <c r="AT82" s="5">
        <f t="shared" si="51"/>
        <v>0</v>
      </c>
    </row>
    <row r="83" spans="41:46" x14ac:dyDescent="0.25">
      <c r="AO83" s="5">
        <f t="shared" si="52"/>
        <v>0</v>
      </c>
      <c r="AP83" s="5"/>
      <c r="AQ83" s="5">
        <f t="shared" si="53"/>
        <v>0</v>
      </c>
      <c r="AR83" s="19">
        <f t="shared" si="53"/>
        <v>0</v>
      </c>
      <c r="AS83" s="19"/>
      <c r="AT83" s="5">
        <f t="shared" si="51"/>
        <v>0</v>
      </c>
    </row>
    <row r="84" spans="41:46" x14ac:dyDescent="0.25">
      <c r="AO84" s="5">
        <f t="shared" si="52"/>
        <v>0</v>
      </c>
      <c r="AP84" s="5"/>
      <c r="AQ84" s="5">
        <f t="shared" si="53"/>
        <v>0</v>
      </c>
      <c r="AR84" s="19">
        <f t="shared" si="53"/>
        <v>0</v>
      </c>
      <c r="AS84" s="19"/>
      <c r="AT84" s="5">
        <f t="shared" si="51"/>
        <v>0</v>
      </c>
    </row>
    <row r="85" spans="41:46" x14ac:dyDescent="0.25">
      <c r="AO85" s="5">
        <f t="shared" si="52"/>
        <v>0</v>
      </c>
      <c r="AP85" s="5"/>
      <c r="AQ85" s="5">
        <f t="shared" si="53"/>
        <v>0</v>
      </c>
      <c r="AR85" s="19">
        <f t="shared" si="53"/>
        <v>0</v>
      </c>
      <c r="AS85" s="19"/>
      <c r="AT85" s="5">
        <f t="shared" si="51"/>
        <v>0</v>
      </c>
    </row>
    <row r="86" spans="41:46" x14ac:dyDescent="0.25">
      <c r="AO86" s="5">
        <f t="shared" si="52"/>
        <v>0</v>
      </c>
      <c r="AP86" s="5"/>
      <c r="AQ86" s="5">
        <f t="shared" si="53"/>
        <v>0</v>
      </c>
      <c r="AR86" s="19">
        <f t="shared" si="53"/>
        <v>0</v>
      </c>
      <c r="AS86" s="19"/>
      <c r="AT86" s="5">
        <f t="shared" si="51"/>
        <v>0</v>
      </c>
    </row>
    <row r="87" spans="41:46" x14ac:dyDescent="0.25">
      <c r="AO87" s="5">
        <f t="shared" si="52"/>
        <v>0</v>
      </c>
      <c r="AP87" s="5"/>
      <c r="AQ87" s="5">
        <f t="shared" si="53"/>
        <v>0</v>
      </c>
      <c r="AR87" s="19">
        <f t="shared" si="53"/>
        <v>0</v>
      </c>
      <c r="AT87" s="5">
        <f>SUM(AT80:AT86)</f>
        <v>1</v>
      </c>
    </row>
    <row r="88" spans="41:46" x14ac:dyDescent="0.25">
      <c r="AO88" s="5">
        <f t="shared" si="52"/>
        <v>0</v>
      </c>
      <c r="AP88" s="5"/>
      <c r="AQ88" s="5">
        <f t="shared" si="53"/>
        <v>0</v>
      </c>
      <c r="AR88" s="19">
        <f t="shared" si="53"/>
        <v>0</v>
      </c>
    </row>
    <row r="112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229</v>
      </c>
      <c r="DF210" s="231" t="s">
        <v>221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H11</f>
        <v>0</v>
      </c>
      <c r="DF211" s="233">
        <f>I11</f>
        <v>1071</v>
      </c>
    </row>
    <row r="212" spans="105:110" ht="15.5" x14ac:dyDescent="0.35">
      <c r="DA212" s="232" t="str">
        <f t="shared" ref="DA212:DA230" si="54">IF(A12="Elected","E",IF(A12="Excluded","Excluded",""))&amp;IF(B12&gt;0,B12,"")</f>
        <v/>
      </c>
      <c r="DB212" s="232" t="str">
        <f t="shared" ref="DB212:DD227" si="55">C12</f>
        <v>FLYNN</v>
      </c>
      <c r="DC212" s="232" t="str">
        <f t="shared" si="55"/>
        <v>Sinn Féin</v>
      </c>
      <c r="DD212" s="233">
        <f t="shared" si="55"/>
        <v>493</v>
      </c>
      <c r="DE212" s="233">
        <f t="shared" ref="DE212:DF212" si="56">H12</f>
        <v>1</v>
      </c>
      <c r="DF212" s="233">
        <f t="shared" si="56"/>
        <v>494.42</v>
      </c>
    </row>
    <row r="213" spans="105:110" ht="15.5" x14ac:dyDescent="0.35">
      <c r="DA213" s="232" t="str">
        <f t="shared" si="54"/>
        <v/>
      </c>
      <c r="DB213" s="232" t="str">
        <f t="shared" si="55"/>
        <v>FRENCH</v>
      </c>
      <c r="DC213" s="232" t="str">
        <f t="shared" si="55"/>
        <v xml:space="preserve">SDLP </v>
      </c>
      <c r="DD213" s="233">
        <f t="shared" si="55"/>
        <v>472</v>
      </c>
      <c r="DE213" s="233">
        <f t="shared" ref="DE213:DF213" si="57">H13</f>
        <v>4</v>
      </c>
      <c r="DF213" s="233">
        <f t="shared" si="57"/>
        <v>476.42</v>
      </c>
    </row>
    <row r="214" spans="105:110" ht="15.5" x14ac:dyDescent="0.35">
      <c r="DA214" s="232" t="str">
        <f t="shared" si="54"/>
        <v>E3</v>
      </c>
      <c r="DB214" s="232" t="str">
        <f t="shared" si="55"/>
        <v>GIVAN</v>
      </c>
      <c r="DC214" s="232" t="str">
        <f t="shared" si="55"/>
        <v>D.U.P.</v>
      </c>
      <c r="DD214" s="233">
        <f t="shared" si="55"/>
        <v>1038</v>
      </c>
      <c r="DE214" s="233">
        <f t="shared" ref="DE214:DF214" si="58">H14</f>
        <v>0</v>
      </c>
      <c r="DF214" s="233">
        <f t="shared" si="58"/>
        <v>1089.5999999999999</v>
      </c>
    </row>
    <row r="215" spans="105:110" ht="15.5" x14ac:dyDescent="0.35">
      <c r="DA215" s="232" t="str">
        <f t="shared" si="54"/>
        <v>E2</v>
      </c>
      <c r="DB215" s="232" t="str">
        <f t="shared" si="55"/>
        <v>GREHAN</v>
      </c>
      <c r="DC215" s="232" t="str">
        <f t="shared" si="55"/>
        <v>Alliance Party</v>
      </c>
      <c r="DD215" s="233">
        <f t="shared" si="55"/>
        <v>1111</v>
      </c>
      <c r="DE215" s="233">
        <f t="shared" ref="DE215:DF215" si="59">H15</f>
        <v>0</v>
      </c>
      <c r="DF215" s="233">
        <f t="shared" si="59"/>
        <v>1111</v>
      </c>
    </row>
    <row r="216" spans="105:110" ht="15.5" x14ac:dyDescent="0.35">
      <c r="DA216" s="232" t="str">
        <f t="shared" si="54"/>
        <v/>
      </c>
      <c r="DB216" s="232" t="str">
        <f t="shared" si="55"/>
        <v>KENNEDY</v>
      </c>
      <c r="DC216" s="232" t="str">
        <f t="shared" si="55"/>
        <v>Alliance Party</v>
      </c>
      <c r="DD216" s="233">
        <f t="shared" si="55"/>
        <v>674</v>
      </c>
      <c r="DE216" s="233">
        <f t="shared" ref="DE216:DF216" si="60">H16</f>
        <v>3.06</v>
      </c>
      <c r="DF216" s="233">
        <f t="shared" si="60"/>
        <v>677.3</v>
      </c>
    </row>
    <row r="217" spans="105:110" ht="15.5" x14ac:dyDescent="0.35">
      <c r="DA217" s="232" t="str">
        <f t="shared" si="54"/>
        <v>Excluded</v>
      </c>
      <c r="DB217" s="232" t="str">
        <f t="shared" si="55"/>
        <v>MCEVOY</v>
      </c>
      <c r="DC217" s="232" t="str">
        <f t="shared" si="55"/>
        <v xml:space="preserve">TUV </v>
      </c>
      <c r="DD217" s="233">
        <f t="shared" si="55"/>
        <v>387</v>
      </c>
      <c r="DE217" s="233">
        <f t="shared" ref="DE217:DF217" si="61">H17</f>
        <v>-388.44</v>
      </c>
      <c r="DF217" s="233">
        <f t="shared" si="61"/>
        <v>0</v>
      </c>
    </row>
    <row r="218" spans="105:110" ht="15.5" x14ac:dyDescent="0.35">
      <c r="DA218" s="232" t="str">
        <f t="shared" si="54"/>
        <v/>
      </c>
      <c r="DB218" s="232" t="str">
        <f t="shared" si="55"/>
        <v>MITCHELL</v>
      </c>
      <c r="DC218" s="232" t="str">
        <f t="shared" si="55"/>
        <v>UUP</v>
      </c>
      <c r="DD218" s="233">
        <f t="shared" si="55"/>
        <v>870</v>
      </c>
      <c r="DE218" s="233">
        <f t="shared" ref="DE218:DF218" si="62">H18</f>
        <v>91.42</v>
      </c>
      <c r="DF218" s="233">
        <f t="shared" si="62"/>
        <v>962.86</v>
      </c>
    </row>
    <row r="219" spans="105:110" ht="15.5" x14ac:dyDescent="0.35">
      <c r="DA219" s="232" t="str">
        <f t="shared" si="54"/>
        <v/>
      </c>
      <c r="DB219" s="232" t="str">
        <f t="shared" si="55"/>
        <v>PALMER</v>
      </c>
      <c r="DC219" s="232" t="str">
        <f t="shared" si="55"/>
        <v>UUP</v>
      </c>
      <c r="DD219" s="233">
        <f t="shared" si="55"/>
        <v>625</v>
      </c>
      <c r="DE219" s="233">
        <f t="shared" ref="DE219:DF219" si="63">H19</f>
        <v>64.48</v>
      </c>
      <c r="DF219" s="233">
        <f t="shared" si="63"/>
        <v>692.9</v>
      </c>
    </row>
    <row r="220" spans="105:110" ht="15.5" x14ac:dyDescent="0.35">
      <c r="DA220" s="232" t="str">
        <f t="shared" si="54"/>
        <v/>
      </c>
      <c r="DB220" s="232" t="str">
        <f t="shared" si="55"/>
        <v>PORTER</v>
      </c>
      <c r="DC220" s="232" t="str">
        <f t="shared" si="55"/>
        <v>D.U.P.</v>
      </c>
      <c r="DD220" s="233">
        <f t="shared" si="55"/>
        <v>687</v>
      </c>
      <c r="DE220" s="233">
        <f t="shared" ref="DE220:DF220" si="64">H20</f>
        <v>204.42</v>
      </c>
      <c r="DF220" s="233">
        <f t="shared" si="64"/>
        <v>900.42</v>
      </c>
    </row>
    <row r="221" spans="105:110" ht="15.5" x14ac:dyDescent="0.35">
      <c r="DA221" s="232" t="str">
        <f t="shared" si="54"/>
        <v/>
      </c>
      <c r="DB221" s="232">
        <f t="shared" si="55"/>
        <v>0</v>
      </c>
      <c r="DC221" s="232">
        <f t="shared" si="55"/>
        <v>0</v>
      </c>
      <c r="DD221" s="233">
        <f t="shared" si="55"/>
        <v>0</v>
      </c>
      <c r="DE221" s="233">
        <f t="shared" ref="DE221:DF221" si="65">H21</f>
        <v>0</v>
      </c>
      <c r="DF221" s="233">
        <f t="shared" si="65"/>
        <v>0</v>
      </c>
    </row>
    <row r="222" spans="105:110" ht="15.5" x14ac:dyDescent="0.35">
      <c r="DA222" s="232" t="str">
        <f t="shared" si="54"/>
        <v/>
      </c>
      <c r="DB222" s="232">
        <f t="shared" si="55"/>
        <v>0</v>
      </c>
      <c r="DC222" s="232">
        <f t="shared" si="55"/>
        <v>0</v>
      </c>
      <c r="DD222" s="233">
        <f t="shared" si="55"/>
        <v>0</v>
      </c>
      <c r="DE222" s="233">
        <f t="shared" ref="DE222:DF222" si="66">H22</f>
        <v>0</v>
      </c>
      <c r="DF222" s="233">
        <f t="shared" si="66"/>
        <v>0</v>
      </c>
    </row>
    <row r="223" spans="105:110" ht="15.5" x14ac:dyDescent="0.35">
      <c r="DA223" s="232" t="str">
        <f t="shared" si="54"/>
        <v/>
      </c>
      <c r="DB223" s="232">
        <f t="shared" si="55"/>
        <v>0</v>
      </c>
      <c r="DC223" s="232">
        <f t="shared" si="55"/>
        <v>0</v>
      </c>
      <c r="DD223" s="233">
        <f t="shared" si="55"/>
        <v>0</v>
      </c>
      <c r="DE223" s="233">
        <f t="shared" ref="DE223:DF223" si="67">H23</f>
        <v>0</v>
      </c>
      <c r="DF223" s="233">
        <f t="shared" si="67"/>
        <v>0</v>
      </c>
    </row>
    <row r="224" spans="105:110" ht="15.5" x14ac:dyDescent="0.35">
      <c r="DA224" s="232" t="str">
        <f t="shared" si="54"/>
        <v/>
      </c>
      <c r="DB224" s="232">
        <f t="shared" si="55"/>
        <v>0</v>
      </c>
      <c r="DC224" s="232">
        <f t="shared" si="55"/>
        <v>0</v>
      </c>
      <c r="DD224" s="233">
        <f t="shared" si="55"/>
        <v>0</v>
      </c>
      <c r="DE224" s="233">
        <f t="shared" ref="DE224:DF224" si="68">H24</f>
        <v>0</v>
      </c>
      <c r="DF224" s="233">
        <f t="shared" si="68"/>
        <v>0</v>
      </c>
    </row>
    <row r="225" spans="105:110" ht="15.5" x14ac:dyDescent="0.35">
      <c r="DA225" s="232" t="str">
        <f t="shared" si="54"/>
        <v/>
      </c>
      <c r="DB225" s="232">
        <f t="shared" si="55"/>
        <v>0</v>
      </c>
      <c r="DC225" s="232">
        <f t="shared" si="55"/>
        <v>0</v>
      </c>
      <c r="DD225" s="233">
        <f t="shared" si="55"/>
        <v>0</v>
      </c>
      <c r="DE225" s="233">
        <f t="shared" ref="DE225:DF225" si="69">H25</f>
        <v>0</v>
      </c>
      <c r="DF225" s="233">
        <f t="shared" si="69"/>
        <v>0</v>
      </c>
    </row>
    <row r="226" spans="105:110" ht="15.5" x14ac:dyDescent="0.35">
      <c r="DA226" s="232" t="str">
        <f t="shared" si="54"/>
        <v/>
      </c>
      <c r="DB226" s="232">
        <f t="shared" si="55"/>
        <v>0</v>
      </c>
      <c r="DC226" s="232">
        <f t="shared" si="55"/>
        <v>0</v>
      </c>
      <c r="DD226" s="233">
        <f t="shared" si="55"/>
        <v>0</v>
      </c>
      <c r="DE226" s="233">
        <f t="shared" ref="DE226:DF226" si="70">H26</f>
        <v>0</v>
      </c>
      <c r="DF226" s="233">
        <f t="shared" si="70"/>
        <v>0</v>
      </c>
    </row>
    <row r="227" spans="105:110" ht="15.5" x14ac:dyDescent="0.35">
      <c r="DA227" s="232" t="str">
        <f t="shared" si="54"/>
        <v/>
      </c>
      <c r="DB227" s="232">
        <f t="shared" si="55"/>
        <v>0</v>
      </c>
      <c r="DC227" s="232">
        <f t="shared" si="55"/>
        <v>0</v>
      </c>
      <c r="DD227" s="233">
        <f t="shared" si="55"/>
        <v>0</v>
      </c>
      <c r="DE227" s="233">
        <f t="shared" ref="DE227:DF227" si="71">H27</f>
        <v>0</v>
      </c>
      <c r="DF227" s="233">
        <f t="shared" si="71"/>
        <v>0</v>
      </c>
    </row>
    <row r="228" spans="105:110" ht="15.5" x14ac:dyDescent="0.35">
      <c r="DA228" s="232" t="str">
        <f t="shared" si="54"/>
        <v/>
      </c>
      <c r="DB228" s="232">
        <f t="shared" ref="DB228:DD230" si="72">C28</f>
        <v>0</v>
      </c>
      <c r="DC228" s="232">
        <f t="shared" si="72"/>
        <v>0</v>
      </c>
      <c r="DD228" s="233">
        <f t="shared" si="72"/>
        <v>0</v>
      </c>
      <c r="DE228" s="233">
        <f t="shared" ref="DE228:DF228" si="73">H28</f>
        <v>0</v>
      </c>
      <c r="DF228" s="233">
        <f t="shared" si="73"/>
        <v>0</v>
      </c>
    </row>
    <row r="229" spans="105:110" ht="15.5" x14ac:dyDescent="0.35">
      <c r="DA229" s="232" t="str">
        <f t="shared" si="54"/>
        <v/>
      </c>
      <c r="DB229" s="232">
        <f t="shared" si="72"/>
        <v>0</v>
      </c>
      <c r="DC229" s="232">
        <f t="shared" si="72"/>
        <v>0</v>
      </c>
      <c r="DD229" s="233">
        <f t="shared" si="72"/>
        <v>0</v>
      </c>
      <c r="DE229" s="233">
        <f t="shared" ref="DE229:DF229" si="74">H29</f>
        <v>0</v>
      </c>
      <c r="DF229" s="233">
        <f t="shared" si="74"/>
        <v>0</v>
      </c>
    </row>
    <row r="230" spans="105:110" ht="15.5" x14ac:dyDescent="0.35">
      <c r="DA230" s="232" t="str">
        <f t="shared" si="54"/>
        <v/>
      </c>
      <c r="DB230" s="232">
        <f t="shared" si="72"/>
        <v>0</v>
      </c>
      <c r="DC230" s="232">
        <f t="shared" si="72"/>
        <v>0</v>
      </c>
      <c r="DD230" s="233">
        <f t="shared" si="72"/>
        <v>0</v>
      </c>
      <c r="DE230" s="233">
        <f t="shared" ref="DE230:DF230" si="75">H30</f>
        <v>0</v>
      </c>
      <c r="DF230" s="233">
        <f t="shared" si="75"/>
        <v>0</v>
      </c>
    </row>
    <row r="231" spans="105:110" ht="15.5" x14ac:dyDescent="0.35">
      <c r="DC231" s="234" t="s">
        <v>123</v>
      </c>
      <c r="DD231" s="234"/>
      <c r="DE231" s="233">
        <f>H31</f>
        <v>20.059999999999999</v>
      </c>
      <c r="DF231" s="233">
        <f>I31</f>
        <v>20.079999999999995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>I32</f>
        <v>7496</v>
      </c>
    </row>
  </sheetData>
  <sheetProtection sheet="1" objects="1" scenarios="1"/>
  <protectedRanges>
    <protectedRange sqref="BH5:BH24" name="Range23"/>
    <protectedRange sqref="BT3:BZ3" name="Range20"/>
    <protectedRange sqref="BF26" name="Range7"/>
    <protectedRange sqref="BF5:BF24" name="Range6"/>
    <protectedRange sqref="BC13:BC14" name="Range5"/>
    <protectedRange sqref="BC10" name="Range4"/>
    <protectedRange sqref="I34" name="Range1"/>
    <protectedRange sqref="BT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BH5:BH24" name="Range22"/>
    <protectedRange sqref="BH5:BH24" name="Range21"/>
    <protectedRange sqref="AQ5" name="Range3_1"/>
  </protectedRanges>
  <mergeCells count="84">
    <mergeCell ref="BI30:BK31"/>
    <mergeCell ref="Z6:AF7"/>
    <mergeCell ref="AL28:AQ29"/>
    <mergeCell ref="AL31:AQ32"/>
    <mergeCell ref="V6:W6"/>
    <mergeCell ref="V7:W7"/>
    <mergeCell ref="V8:W8"/>
    <mergeCell ref="AJ24:AK24"/>
    <mergeCell ref="AO23:AP23"/>
    <mergeCell ref="AO24:AP24"/>
    <mergeCell ref="AQ13:AQ17"/>
    <mergeCell ref="R8:S8"/>
    <mergeCell ref="R7:S7"/>
    <mergeCell ref="R6:S6"/>
    <mergeCell ref="P8:Q8"/>
    <mergeCell ref="AP13:AP17"/>
    <mergeCell ref="AK9:AP10"/>
    <mergeCell ref="T6:U6"/>
    <mergeCell ref="T7:U7"/>
    <mergeCell ref="AM13:AM17"/>
    <mergeCell ref="AO13:AO17"/>
    <mergeCell ref="AL13:AL17"/>
    <mergeCell ref="AN13:AN19"/>
    <mergeCell ref="L6:M6"/>
    <mergeCell ref="P7:Q7"/>
    <mergeCell ref="P6:Q6"/>
    <mergeCell ref="L7:M7"/>
    <mergeCell ref="CB2:CE2"/>
    <mergeCell ref="BI3:BK3"/>
    <mergeCell ref="BT3:BZ3"/>
    <mergeCell ref="Z3:AF3"/>
    <mergeCell ref="Z2:AF2"/>
    <mergeCell ref="Z4:AF4"/>
    <mergeCell ref="AK6:AP7"/>
    <mergeCell ref="BP5:BP7"/>
    <mergeCell ref="AQ6:AR7"/>
    <mergeCell ref="U4:W4"/>
    <mergeCell ref="AL3:AQ3"/>
    <mergeCell ref="E4:F4"/>
    <mergeCell ref="K1:L1"/>
    <mergeCell ref="H3:I3"/>
    <mergeCell ref="O4:S4"/>
    <mergeCell ref="O3:S3"/>
    <mergeCell ref="H4:I4"/>
    <mergeCell ref="E3:F3"/>
    <mergeCell ref="O2:S2"/>
    <mergeCell ref="F8:G8"/>
    <mergeCell ref="H8:I8"/>
    <mergeCell ref="F6:G6"/>
    <mergeCell ref="H6:I6"/>
    <mergeCell ref="F7:G7"/>
    <mergeCell ref="H7:I7"/>
    <mergeCell ref="J6:K6"/>
    <mergeCell ref="J7:K7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J8:K8"/>
    <mergeCell ref="L8:M8"/>
    <mergeCell ref="N6:O6"/>
    <mergeCell ref="N7:O7"/>
    <mergeCell ref="N8:O8"/>
    <mergeCell ref="T8:U8"/>
    <mergeCell ref="DE209:DF209"/>
    <mergeCell ref="F9:G9"/>
    <mergeCell ref="H9:I9"/>
    <mergeCell ref="J9:K9"/>
    <mergeCell ref="L9:M9"/>
    <mergeCell ref="V9:W9"/>
    <mergeCell ref="N9:O9"/>
    <mergeCell ref="P9:Q9"/>
    <mergeCell ref="R9:S9"/>
    <mergeCell ref="T9:U9"/>
    <mergeCell ref="AJ25:AK25"/>
    <mergeCell ref="AO25:AP25"/>
    <mergeCell ref="AQ9:AR10"/>
    <mergeCell ref="BX30:BY32"/>
    <mergeCell ref="CB31:CE32"/>
    <mergeCell ref="BF30:BG32"/>
  </mergeCells>
  <phoneticPr fontId="0" type="noConversion"/>
  <conditionalFormatting sqref="BF30:BG31">
    <cfRule type="cellIs" dxfId="140" priority="1" stopIfTrue="1" operator="equal">
      <formula>"NONE"</formula>
    </cfRule>
    <cfRule type="cellIs" dxfId="139" priority="2" stopIfTrue="1" operator="notEqual">
      <formula>"NONE"</formula>
    </cfRule>
  </conditionalFormatting>
  <conditionalFormatting sqref="BX30">
    <cfRule type="cellIs" dxfId="138" priority="3" stopIfTrue="1" operator="equal">
      <formula>"Calculations OK"</formula>
    </cfRule>
    <cfRule type="cellIs" dxfId="137" priority="4" stopIfTrue="1" operator="equal">
      <formula>"Check Count for Error"</formula>
    </cfRule>
  </conditionalFormatting>
  <conditionalFormatting sqref="V4:W4">
    <cfRule type="cellIs" dxfId="136" priority="5" stopIfTrue="1" operator="equal">
      <formula>"Totals Correct"</formula>
    </cfRule>
    <cfRule type="cellIs" dxfId="135" priority="6" stopIfTrue="1" operator="equal">
      <formula>"ERROR"</formula>
    </cfRule>
  </conditionalFormatting>
  <conditionalFormatting sqref="U4">
    <cfRule type="cellIs" dxfId="134" priority="7" stopIfTrue="1" operator="equal">
      <formula>"OK TO MOVE TO NEXT STAGE"</formula>
    </cfRule>
    <cfRule type="cellIs" dxfId="133" priority="8" stopIfTrue="1" operator="equal">
      <formula>"DO NOT MOVE TO NEXT STAGE"</formula>
    </cfRule>
  </conditionalFormatting>
  <conditionalFormatting sqref="AL3">
    <cfRule type="cellIs" dxfId="132" priority="9" stopIfTrue="1" operator="notEqual">
      <formula>0</formula>
    </cfRule>
  </conditionalFormatting>
  <hyperlinks>
    <hyperlink ref="Z6:AF7" location="'Stage 2'!A1" display="BACK to Overview of STAGE 2"/>
    <hyperlink ref="AL28" location="'Stage 2'!BI1" display="MOVE TO TRANSFER OF SURPLUS VOTES FORM"/>
    <hyperlink ref="AL31" location="'Stage 2'!CC1" display="MOVE TO EXCLUDE CANDIDATE FORM"/>
    <hyperlink ref="AL28:AQ29" location="'Stage 3'!AY1:BK1" display="MOVE TO TRANSFER OF SURPLUS VOTES FORM"/>
    <hyperlink ref="AL31:AQ32" location="'Stage 3'!BN1:CE1" display="MOVE TO EXCLUDE CANDIDATE FORM"/>
    <hyperlink ref="CB31" location="'Stage 2'!A1" display="HOME TO OVERVIEW OF STAGE 2"/>
    <hyperlink ref="CB31:CE32" location="'Stage 3'!A1" display="FORWARD to OVERVIEW OF STAGE 3"/>
    <hyperlink ref="CB2" location="'Stage 2'!AQ5" display="MOVE TO NEXT FORM"/>
    <hyperlink ref="CB2:CE2" location="'Stage 3'!Y1:AR1" display="BACK to DECISION FORM"/>
    <hyperlink ref="BI3" location="'Stage 2'!AQ5" display="MOVE TO NEXT FORM"/>
    <hyperlink ref="BI3:BK3" location="'Stage 3'!Y1:AR1" display="BACK to DECISION FORM"/>
    <hyperlink ref="BI30:BK31" location="'Stage 3'!A1" display="FORWARD to OVERVIEW OF STAGE 3"/>
    <hyperlink ref="O4" location="'Stage 3'!A1" display="MOVE TO STAGE 3"/>
    <hyperlink ref="O2" location="'Stage 3'!A1" display="MOVE TO STAGE 3"/>
    <hyperlink ref="O2:S2" location="'Stage 3'!Y1:AR1" display="BACK to DECISION FORM Stage 3"/>
    <hyperlink ref="O4:S4" location="'Stage 4'!Y1:AR1" display="FORWARD TO STAGE 4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2.36328125" customWidth="1"/>
    <col min="25" max="25" width="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54296875" customWidth="1"/>
    <col min="43" max="43" width="11.36328125" customWidth="1"/>
    <col min="44" max="44" width="16.36328125" customWidth="1"/>
    <col min="45" max="45" width="211.6328125" customWidth="1"/>
    <col min="50" max="50" width="224.08984375" customWidth="1"/>
    <col min="51" max="51" width="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7.90625" customWidth="1"/>
    <col min="67" max="67" width="10.453125" customWidth="1"/>
    <col min="68" max="68" width="7.90625" customWidth="1"/>
    <col min="69" max="69" width="1.453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105</v>
      </c>
      <c r="J1" s="85" t="s">
        <v>37</v>
      </c>
      <c r="K1" s="319">
        <f>'Basic Input'!C2</f>
        <v>45064</v>
      </c>
      <c r="L1" s="319"/>
      <c r="Z1" s="10" t="s">
        <v>230</v>
      </c>
      <c r="AQ1" s="33"/>
      <c r="AZ1" s="10" t="s">
        <v>126</v>
      </c>
      <c r="BE1" s="34" t="str">
        <f>IF(AT5="T","COMPLETE THIS FORM","YOU HAVE NOT SELECTED TO COMPLETE THIS FORM")</f>
        <v>COMPLETE THIS FORM</v>
      </c>
      <c r="BR1" s="10" t="s">
        <v>127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231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58.599999999999909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R2" s="36" t="s">
        <v>105</v>
      </c>
      <c r="CB2" s="345" t="s">
        <v>131</v>
      </c>
      <c r="CC2" s="346"/>
      <c r="CD2" s="346"/>
      <c r="CE2" s="347"/>
    </row>
    <row r="3" spans="1:105" ht="21.75" customHeight="1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23"/>
      <c r="P3" s="323"/>
      <c r="Q3" s="323"/>
      <c r="R3" s="323"/>
      <c r="S3" s="323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40</v>
      </c>
      <c r="AJ3" s="163"/>
      <c r="AK3" s="163"/>
      <c r="AL3" s="352" t="str">
        <f>IF(AQ5="n","MOVE TO EXCLUDE CANDIDATE FORM",IF(AQ5="y","MOVE TO TRANSFER OF SURPLUS VOTES FORM",0))</f>
        <v>MOVE TO TRANSFER OF SURPLUS VOTES FORM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L3" s="114"/>
      <c r="BR3" s="81" t="s">
        <v>133</v>
      </c>
      <c r="BS3" s="82"/>
      <c r="BT3" s="348"/>
      <c r="BU3" s="349"/>
      <c r="BV3" s="349"/>
      <c r="BW3" s="349"/>
      <c r="BX3" s="349"/>
      <c r="BY3" s="349"/>
      <c r="BZ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232</v>
      </c>
      <c r="P4" s="346"/>
      <c r="Q4" s="346"/>
      <c r="R4" s="346"/>
      <c r="S4" s="347"/>
      <c r="U4" s="311" t="str">
        <f>IF(K33="ERROR","DO NOT MOVE TO NEXT STAGE","OK TO MOVE TO NEXT STAGE")</f>
        <v>OK TO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4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 t="s">
        <v>144</v>
      </c>
      <c r="AT5" s="7" t="str">
        <f>IF(AQ5=0,0,IF(AQ5="Y","T","E"))</f>
        <v>T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IF(C11=0,0,IF(I11=0,"Excluded",0))</f>
        <v>0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27" t="s">
        <v>233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Transfer</v>
      </c>
      <c r="AR6" s="302"/>
      <c r="AS6" s="181"/>
      <c r="AT6" s="91"/>
      <c r="AU6" s="91"/>
      <c r="AW6" s="33"/>
      <c r="AX6" s="33"/>
      <c r="AZ6" s="36" t="s">
        <v>105</v>
      </c>
      <c r="BA6" s="245"/>
      <c r="BE6" s="61" t="str">
        <f>'Verification of Boxes'!J11</f>
        <v>FLYNN</v>
      </c>
      <c r="BF6" s="64">
        <v>16</v>
      </c>
      <c r="BG6" s="100">
        <f t="shared" si="0"/>
        <v>0.48</v>
      </c>
      <c r="BH6" s="150"/>
      <c r="BI6" s="5">
        <f t="shared" ref="BI6:BI24" si="1">IF(A12&lt;&gt;0,A12,0)</f>
        <v>0</v>
      </c>
      <c r="BJ6" s="5">
        <f t="shared" ref="BJ6:BJ24" si="2">IF(C12=0,0,IF(I12=0,"Excluded",0))</f>
        <v>0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IF($AT5=0,0,IF($AT5="T",$AZ7,$BR4))</f>
        <v>Transfer</v>
      </c>
      <c r="K7" s="362"/>
      <c r="L7" s="309"/>
      <c r="M7" s="310"/>
      <c r="N7" s="309"/>
      <c r="O7" s="310"/>
      <c r="P7" s="309"/>
      <c r="Q7" s="310"/>
      <c r="R7" s="309"/>
      <c r="S7" s="310"/>
      <c r="T7" s="309"/>
      <c r="U7" s="310"/>
      <c r="V7" s="309"/>
      <c r="W7" s="310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>
        <v>30</v>
      </c>
      <c r="BG7" s="100">
        <f t="shared" si="0"/>
        <v>0.89999999999999991</v>
      </c>
      <c r="BH7" s="150"/>
      <c r="BI7" s="5">
        <f t="shared" si="1"/>
        <v>0</v>
      </c>
      <c r="BJ7" s="5">
        <f t="shared" si="2"/>
        <v>0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EWING</v>
      </c>
      <c r="G8" s="364"/>
      <c r="H8" s="359" t="str">
        <f>'Stage 3'!H8:I8</f>
        <v xml:space="preserve"> MCEVOY</v>
      </c>
      <c r="I8" s="360"/>
      <c r="J8" s="359" t="str">
        <f>IF($J7="Transfer",$BA8,$BT3)</f>
        <v>GREHAN</v>
      </c>
      <c r="K8" s="360"/>
      <c r="L8" s="303"/>
      <c r="M8" s="304"/>
      <c r="N8" s="303"/>
      <c r="O8" s="304"/>
      <c r="P8" s="303"/>
      <c r="Q8" s="304"/>
      <c r="R8" s="303"/>
      <c r="S8" s="304"/>
      <c r="T8" s="303"/>
      <c r="U8" s="304"/>
      <c r="V8" s="303"/>
      <c r="W8" s="304"/>
      <c r="AA8" s="3"/>
      <c r="AI8" s="10"/>
      <c r="AJ8" s="10"/>
      <c r="AZ8" s="8" t="s">
        <v>160</v>
      </c>
      <c r="BA8" s="151" t="str">
        <f>IF(BE49&lt;&gt;0,BE49,IF(BE50&lt;&gt;0,BE50,IF(BE51&lt;&gt;0,BE51,IF(BE52&lt;&gt;0,BE52,0))))</f>
        <v>GREHAN</v>
      </c>
      <c r="BE8" s="61" t="str">
        <f>'Verification of Boxes'!J13</f>
        <v>GIVAN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EWING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115" t="s">
        <v>112</v>
      </c>
      <c r="W9" s="116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Transfer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 t="s">
        <v>144</v>
      </c>
      <c r="BI9" s="5" t="str">
        <f t="shared" si="1"/>
        <v>Elected</v>
      </c>
      <c r="BJ9" s="5">
        <f t="shared" si="2"/>
        <v>0</v>
      </c>
      <c r="BM9" s="3"/>
      <c r="BN9" s="5">
        <f t="shared" ref="BN9:BN27" si="11">IF(A12&lt;&gt;0,A12,0)</f>
        <v>0</v>
      </c>
      <c r="BO9" s="7">
        <f t="shared" si="3"/>
        <v>494.42</v>
      </c>
      <c r="BP9" s="66"/>
      <c r="BR9" s="9" t="str">
        <f>'Verification of Boxes'!J11</f>
        <v>FLYNN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113</v>
      </c>
      <c r="B10" s="16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>
        <v>1111</v>
      </c>
      <c r="BE10" s="61" t="str">
        <f>'Verification of Boxes'!J15</f>
        <v>KENNEDY</v>
      </c>
      <c r="BF10" s="64">
        <v>1001</v>
      </c>
      <c r="BG10" s="100">
        <f t="shared" si="0"/>
        <v>30.029999999999998</v>
      </c>
      <c r="BH10" s="150"/>
      <c r="BI10" s="5">
        <f t="shared" si="1"/>
        <v>0</v>
      </c>
      <c r="BJ10" s="5">
        <f t="shared" si="2"/>
        <v>0</v>
      </c>
      <c r="BM10" s="3"/>
      <c r="BN10" s="5">
        <f t="shared" si="11"/>
        <v>0</v>
      </c>
      <c r="BO10" s="7">
        <f t="shared" si="3"/>
        <v>476.42</v>
      </c>
      <c r="BP10" s="66"/>
      <c r="BR10" s="9" t="str">
        <f>'Verification of Boxes'!J12</f>
        <v>FRENCH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3'!A11&lt;&gt;0,'Stage 3'!A11,IF(K11&gt;=$M$3,"Elected",IF(BP8&lt;&gt;0,"Excluded",0)))</f>
        <v>Elected</v>
      </c>
      <c r="B11" s="235">
        <f>'Stage 3'!B11</f>
        <v>1</v>
      </c>
      <c r="C11" s="152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>'Stage 3'!H11</f>
        <v>0</v>
      </c>
      <c r="I11" s="135">
        <f>'Stage 3'!I11</f>
        <v>1071</v>
      </c>
      <c r="J11" s="71">
        <f t="shared" ref="J11:J30" si="12">IF($C11&lt;&gt;0,$BK49,0)</f>
        <v>0</v>
      </c>
      <c r="K11" s="27">
        <f t="shared" ref="K11:K31" si="13">IF(J$8=0,0,I11+J11)</f>
        <v>1071</v>
      </c>
      <c r="L11" s="71"/>
      <c r="M11" s="27">
        <f t="shared" ref="M11:M31" si="14">IF(L$8=0,0,K11+L11)</f>
        <v>0</v>
      </c>
      <c r="N11" s="71"/>
      <c r="O11" s="27">
        <f t="shared" ref="O11:O31" si="15">IF(N$8=0,0,M11+N11)</f>
        <v>0</v>
      </c>
      <c r="P11" s="71"/>
      <c r="Q11" s="27">
        <f t="shared" ref="Q11:Q31" si="16">IF(P$8=0,0,O11+P11)</f>
        <v>0</v>
      </c>
      <c r="R11" s="71"/>
      <c r="S11" s="27">
        <f t="shared" ref="S11:S31" si="17">IF(R$8=0,0,Q11+R11)</f>
        <v>0</v>
      </c>
      <c r="T11" s="71"/>
      <c r="U11" s="27">
        <f t="shared" ref="U11:U31" si="18">IF(T$8=0,0,S11+T11)</f>
        <v>0</v>
      </c>
      <c r="V11" s="69"/>
      <c r="W11" s="39">
        <f t="shared" ref="W11:W31" si="19">IF(V$8=0,0,U11+V11)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>IF('Stage 3'!A12&lt;&gt;0,'Stage 3'!A12,IF(K12&gt;=$M$3,"Elected",IF(BP9&lt;&gt;0,"Excluded",0)))</f>
        <v>0</v>
      </c>
      <c r="B12" s="235">
        <f>'Stage 3'!B12</f>
        <v>0</v>
      </c>
      <c r="C12" s="153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>'Stage 3'!H12</f>
        <v>1</v>
      </c>
      <c r="I12" s="135">
        <f>'Stage 3'!I12</f>
        <v>494.42</v>
      </c>
      <c r="J12" s="71">
        <f t="shared" si="12"/>
        <v>0.48</v>
      </c>
      <c r="K12" s="27">
        <f t="shared" si="13"/>
        <v>494.90000000000003</v>
      </c>
      <c r="L12" s="71"/>
      <c r="M12" s="27">
        <f t="shared" si="14"/>
        <v>0</v>
      </c>
      <c r="N12" s="71"/>
      <c r="O12" s="27">
        <f t="shared" si="15"/>
        <v>0</v>
      </c>
      <c r="P12" s="71"/>
      <c r="Q12" s="27">
        <f t="shared" si="16"/>
        <v>0</v>
      </c>
      <c r="R12" s="71"/>
      <c r="S12" s="27">
        <f t="shared" si="17"/>
        <v>0</v>
      </c>
      <c r="T12" s="71"/>
      <c r="U12" s="27">
        <f t="shared" si="18"/>
        <v>0</v>
      </c>
      <c r="V12" s="69"/>
      <c r="W12" s="39">
        <f t="shared" si="19"/>
        <v>0</v>
      </c>
      <c r="AJ12" s="38"/>
      <c r="AZ12" t="s">
        <v>166</v>
      </c>
      <c r="BA12" s="3" t="s">
        <v>167</v>
      </c>
      <c r="BB12" s="3"/>
      <c r="BC12" s="50">
        <f>AG3</f>
        <v>40</v>
      </c>
      <c r="BE12" s="61" t="str">
        <f>'Verification of Boxes'!J17</f>
        <v>MITCHELL</v>
      </c>
      <c r="BF12" s="64">
        <v>24</v>
      </c>
      <c r="BG12" s="100">
        <f t="shared" si="0"/>
        <v>0.72</v>
      </c>
      <c r="BH12" s="150"/>
      <c r="BI12" s="5">
        <f t="shared" si="1"/>
        <v>0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>IF('Stage 3'!A13&lt;&gt;0,'Stage 3'!A13,IF(K13&gt;=$M$3,"Elected",IF(BP10&lt;&gt;0,"Excluded",0)))</f>
        <v>0</v>
      </c>
      <c r="B13" s="235">
        <f>'Stage 3'!B13</f>
        <v>0</v>
      </c>
      <c r="C13" s="153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>'Stage 3'!H13</f>
        <v>4</v>
      </c>
      <c r="I13" s="135">
        <f>'Stage 3'!I13</f>
        <v>476.42</v>
      </c>
      <c r="J13" s="71">
        <f t="shared" si="12"/>
        <v>0.89999999999999991</v>
      </c>
      <c r="K13" s="27">
        <f t="shared" si="13"/>
        <v>477.32</v>
      </c>
      <c r="L13" s="71"/>
      <c r="M13" s="27">
        <f t="shared" si="14"/>
        <v>0</v>
      </c>
      <c r="N13" s="71"/>
      <c r="O13" s="27">
        <f t="shared" si="15"/>
        <v>0</v>
      </c>
      <c r="P13" s="71"/>
      <c r="Q13" s="27">
        <f t="shared" si="16"/>
        <v>0</v>
      </c>
      <c r="R13" s="71"/>
      <c r="S13" s="27">
        <f t="shared" si="17"/>
        <v>0</v>
      </c>
      <c r="T13" s="71"/>
      <c r="U13" s="27">
        <f t="shared" si="18"/>
        <v>0</v>
      </c>
      <c r="V13" s="69"/>
      <c r="W13" s="39">
        <f t="shared" si="19"/>
        <v>0</v>
      </c>
      <c r="Z13" s="15" t="s">
        <v>115</v>
      </c>
      <c r="AA13" s="124" t="s">
        <v>168</v>
      </c>
      <c r="AB13" s="16"/>
      <c r="AC13" s="16" t="s">
        <v>169</v>
      </c>
      <c r="AD13" s="16"/>
      <c r="AE13" s="16" t="s">
        <v>170</v>
      </c>
      <c r="AF13" s="16" t="s">
        <v>171</v>
      </c>
      <c r="AG13" s="17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>
        <v>1111</v>
      </c>
      <c r="BE13" s="61" t="str">
        <f>'Verification of Boxes'!J18</f>
        <v>PALMER</v>
      </c>
      <c r="BF13" s="64">
        <v>23</v>
      </c>
      <c r="BG13" s="100">
        <f t="shared" si="0"/>
        <v>0.69</v>
      </c>
      <c r="BH13" s="150"/>
      <c r="BI13" s="5">
        <f t="shared" si="1"/>
        <v>0</v>
      </c>
      <c r="BJ13" s="5">
        <f t="shared" si="2"/>
        <v>0</v>
      </c>
      <c r="BM13" s="3"/>
      <c r="BN13" s="5">
        <f t="shared" si="11"/>
        <v>0</v>
      </c>
      <c r="BO13" s="7">
        <f t="shared" si="3"/>
        <v>677.3</v>
      </c>
      <c r="BP13" s="66"/>
      <c r="BR13" s="9" t="str">
        <f>'Verification of Boxes'!J15</f>
        <v>KENNEDY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3'!A14&lt;&gt;0,'Stage 3'!A14,IF(K14&gt;=$M$3,"Elected",IF(BP11&lt;&gt;0,"Excluded",0)))</f>
        <v>Elected</v>
      </c>
      <c r="B14" s="235">
        <f>'Stage 3'!B14</f>
        <v>3</v>
      </c>
      <c r="C14" s="153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>'Stage 3'!H14</f>
        <v>0</v>
      </c>
      <c r="I14" s="135">
        <f>'Stage 3'!I14</f>
        <v>1089.5999999999999</v>
      </c>
      <c r="J14" s="71">
        <f t="shared" si="12"/>
        <v>0</v>
      </c>
      <c r="K14" s="27">
        <f t="shared" si="13"/>
        <v>1089.5999999999999</v>
      </c>
      <c r="L14" s="71"/>
      <c r="M14" s="27">
        <f t="shared" si="14"/>
        <v>0</v>
      </c>
      <c r="N14" s="71"/>
      <c r="O14" s="27">
        <f t="shared" si="15"/>
        <v>0</v>
      </c>
      <c r="P14" s="71"/>
      <c r="Q14" s="27">
        <f t="shared" si="16"/>
        <v>0</v>
      </c>
      <c r="R14" s="71"/>
      <c r="S14" s="27">
        <f t="shared" si="17"/>
        <v>0</v>
      </c>
      <c r="T14" s="71"/>
      <c r="U14" s="27">
        <f t="shared" si="18"/>
        <v>0</v>
      </c>
      <c r="V14" s="69"/>
      <c r="W14" s="39">
        <f t="shared" si="19"/>
        <v>0</v>
      </c>
      <c r="Z14" s="92" t="str">
        <f>'Verification of Boxes'!J10</f>
        <v>EWING</v>
      </c>
      <c r="AA14" s="93">
        <f>I11</f>
        <v>1071</v>
      </c>
      <c r="AB14" s="88"/>
      <c r="AC14" s="88">
        <f t="shared" ref="AC14:AC33" si="20">IF(AA14&gt;0,AA14-AG$4,0)</f>
        <v>0</v>
      </c>
      <c r="AD14" s="88"/>
      <c r="AE14" s="88" t="str">
        <f>IF(Z14=0,0,IF(AA14&gt;=AG$4,"elected",IF(AA14=0,"excluded","continuing")))</f>
        <v>elected</v>
      </c>
      <c r="AF14" s="88">
        <f t="shared" ref="AF14:AF33" si="21">IF(AE14="elected",AC14,0)</f>
        <v>0</v>
      </c>
      <c r="AG14" s="94">
        <f t="shared" ref="AG14:AG33" si="22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>
        <v>1</v>
      </c>
      <c r="BE14" s="61" t="str">
        <f>'Verification of Boxes'!J19</f>
        <v>PORTER</v>
      </c>
      <c r="BF14" s="64">
        <v>13</v>
      </c>
      <c r="BG14" s="100">
        <f t="shared" si="0"/>
        <v>0.39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3'!A15&lt;&gt;0,'Stage 3'!A15,IF(K15&gt;=$M$3,"Elected",IF(BP12&lt;&gt;0,"Excluded",0)))</f>
        <v>Elected</v>
      </c>
      <c r="B15" s="235">
        <f>'Stage 3'!B15</f>
        <v>2</v>
      </c>
      <c r="C15" s="153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>'Stage 3'!H15</f>
        <v>0</v>
      </c>
      <c r="I15" s="135">
        <f>'Stage 3'!I15</f>
        <v>1111</v>
      </c>
      <c r="J15" s="71">
        <f t="shared" si="12"/>
        <v>-40</v>
      </c>
      <c r="K15" s="27">
        <f t="shared" si="13"/>
        <v>1071</v>
      </c>
      <c r="L15" s="71"/>
      <c r="M15" s="27">
        <f t="shared" si="14"/>
        <v>0</v>
      </c>
      <c r="N15" s="71"/>
      <c r="O15" s="27">
        <f t="shared" si="15"/>
        <v>0</v>
      </c>
      <c r="P15" s="71"/>
      <c r="Q15" s="27">
        <f t="shared" si="16"/>
        <v>0</v>
      </c>
      <c r="R15" s="71"/>
      <c r="S15" s="27">
        <f t="shared" si="17"/>
        <v>0</v>
      </c>
      <c r="T15" s="71"/>
      <c r="U15" s="27">
        <f t="shared" si="18"/>
        <v>0</v>
      </c>
      <c r="V15" s="69"/>
      <c r="W15" s="39">
        <f t="shared" si="19"/>
        <v>0</v>
      </c>
      <c r="Z15" s="95" t="str">
        <f>'Verification of Boxes'!J11</f>
        <v>FLYNN</v>
      </c>
      <c r="AA15" s="37">
        <f>I12</f>
        <v>494.42</v>
      </c>
      <c r="AB15" s="5"/>
      <c r="AC15" s="5">
        <f t="shared" si="20"/>
        <v>-576.57999999999993</v>
      </c>
      <c r="AD15" s="5"/>
      <c r="AE15" s="5" t="str">
        <f t="shared" ref="AE15:AE33" si="23">IF(Z15=0,0,IF(AA15&gt;=AG$4,"elected",IF(AA15=0,"excluded","continuing")))</f>
        <v>continuing</v>
      </c>
      <c r="AF15" s="5">
        <f t="shared" si="21"/>
        <v>0</v>
      </c>
      <c r="AG15" s="145">
        <f t="shared" si="22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962.86</v>
      </c>
      <c r="BP15" s="66"/>
      <c r="BR15" s="9" t="str">
        <f>'Verification of Boxes'!J17</f>
        <v>MITCHELL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3'!A16&lt;&gt;0,'Stage 3'!A16,IF(K16&gt;=$M$3,"Elected",IF(BP13&lt;&gt;0,"Excluded",0)))</f>
        <v>0</v>
      </c>
      <c r="B16" s="235">
        <f>'Stage 3'!B16</f>
        <v>0</v>
      </c>
      <c r="C16" s="153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>'Stage 3'!H16</f>
        <v>3.06</v>
      </c>
      <c r="I16" s="135">
        <f>'Stage 3'!I16</f>
        <v>677.3</v>
      </c>
      <c r="J16" s="71">
        <f t="shared" si="12"/>
        <v>30.029999999999998</v>
      </c>
      <c r="K16" s="27">
        <f t="shared" si="13"/>
        <v>707.32999999999993</v>
      </c>
      <c r="L16" s="71"/>
      <c r="M16" s="27">
        <f t="shared" si="14"/>
        <v>0</v>
      </c>
      <c r="N16" s="71"/>
      <c r="O16" s="27">
        <f t="shared" si="15"/>
        <v>0</v>
      </c>
      <c r="P16" s="71"/>
      <c r="Q16" s="27">
        <f t="shared" si="16"/>
        <v>0</v>
      </c>
      <c r="R16" s="71"/>
      <c r="S16" s="27">
        <f t="shared" si="17"/>
        <v>0</v>
      </c>
      <c r="T16" s="71"/>
      <c r="U16" s="27">
        <f t="shared" si="18"/>
        <v>0</v>
      </c>
      <c r="V16" s="69"/>
      <c r="W16" s="39">
        <f t="shared" si="19"/>
        <v>0</v>
      </c>
      <c r="Z16" s="95" t="str">
        <f>'Verification of Boxes'!J12</f>
        <v>FRENCH</v>
      </c>
      <c r="AA16" s="37">
        <f t="shared" ref="AA16:AA32" si="24">I13</f>
        <v>476.42</v>
      </c>
      <c r="AB16" s="5"/>
      <c r="AC16" s="5">
        <f t="shared" si="20"/>
        <v>-594.57999999999993</v>
      </c>
      <c r="AD16" s="5"/>
      <c r="AE16" s="5" t="str">
        <f t="shared" si="23"/>
        <v>continuing</v>
      </c>
      <c r="AF16" s="5">
        <f t="shared" si="21"/>
        <v>0</v>
      </c>
      <c r="AG16" s="145">
        <f t="shared" si="22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692.9</v>
      </c>
      <c r="BP16" s="66"/>
      <c r="BR16" s="9" t="str">
        <f>'Verification of Boxes'!J18</f>
        <v>PALMER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3'!A17&lt;&gt;0,'Stage 3'!A17,IF(K17&gt;=$M$3,"Elected",IF(BP14&lt;&gt;0,"Excluded",0)))</f>
        <v>Excluded</v>
      </c>
      <c r="B17" s="235">
        <f>'Stage 3'!B17</f>
        <v>0</v>
      </c>
      <c r="C17" s="153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>'Stage 3'!H17</f>
        <v>-388.44</v>
      </c>
      <c r="I17" s="135">
        <f>'Stage 3'!I17</f>
        <v>0</v>
      </c>
      <c r="J17" s="71">
        <f t="shared" si="12"/>
        <v>0</v>
      </c>
      <c r="K17" s="27">
        <f t="shared" si="13"/>
        <v>0</v>
      </c>
      <c r="L17" s="71"/>
      <c r="M17" s="27">
        <f t="shared" si="14"/>
        <v>0</v>
      </c>
      <c r="N17" s="71"/>
      <c r="O17" s="27">
        <f t="shared" si="15"/>
        <v>0</v>
      </c>
      <c r="P17" s="71"/>
      <c r="Q17" s="27">
        <f t="shared" si="16"/>
        <v>0</v>
      </c>
      <c r="R17" s="71"/>
      <c r="S17" s="27">
        <f t="shared" si="17"/>
        <v>0</v>
      </c>
      <c r="T17" s="71"/>
      <c r="U17" s="27">
        <f t="shared" si="18"/>
        <v>0</v>
      </c>
      <c r="V17" s="69"/>
      <c r="W17" s="39">
        <f t="shared" si="19"/>
        <v>0</v>
      </c>
      <c r="Z17" s="95" t="str">
        <f>'Verification of Boxes'!J13</f>
        <v>GIVAN</v>
      </c>
      <c r="AA17" s="37">
        <f t="shared" si="24"/>
        <v>1089.5999999999999</v>
      </c>
      <c r="AB17" s="5"/>
      <c r="AC17" s="5">
        <f t="shared" si="20"/>
        <v>18.599999999999909</v>
      </c>
      <c r="AD17" s="5"/>
      <c r="AE17" s="5" t="str">
        <f t="shared" si="23"/>
        <v>elected</v>
      </c>
      <c r="AF17" s="5">
        <f t="shared" si="21"/>
        <v>18.599999999999909</v>
      </c>
      <c r="AG17" s="145" t="str">
        <f t="shared" si="22"/>
        <v>transfer largest surplus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900.42</v>
      </c>
      <c r="BP17" s="66"/>
      <c r="BR17" s="9" t="str">
        <f>'Verification of Boxes'!J19</f>
        <v>PORTER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>IF('Stage 3'!A18&lt;&gt;0,'Stage 3'!A18,IF(K18&gt;=$M$3,"Elected",IF(BP15&lt;&gt;0,"Excluded",0)))</f>
        <v>0</v>
      </c>
      <c r="B18" s="235">
        <f>'Stage 3'!B18</f>
        <v>0</v>
      </c>
      <c r="C18" s="153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>'Stage 3'!H18</f>
        <v>91.42</v>
      </c>
      <c r="I18" s="135">
        <f>'Stage 3'!I18</f>
        <v>962.86</v>
      </c>
      <c r="J18" s="71">
        <f t="shared" si="12"/>
        <v>0.72</v>
      </c>
      <c r="K18" s="27">
        <f t="shared" si="13"/>
        <v>963.58</v>
      </c>
      <c r="L18" s="71"/>
      <c r="M18" s="27">
        <f t="shared" si="14"/>
        <v>0</v>
      </c>
      <c r="N18" s="71"/>
      <c r="O18" s="27">
        <f t="shared" si="15"/>
        <v>0</v>
      </c>
      <c r="P18" s="71"/>
      <c r="Q18" s="27">
        <f t="shared" si="16"/>
        <v>0</v>
      </c>
      <c r="R18" s="71"/>
      <c r="S18" s="27">
        <f t="shared" si="17"/>
        <v>0</v>
      </c>
      <c r="T18" s="71"/>
      <c r="U18" s="27">
        <f t="shared" si="18"/>
        <v>0</v>
      </c>
      <c r="V18" s="69"/>
      <c r="W18" s="39">
        <f t="shared" si="19"/>
        <v>0</v>
      </c>
      <c r="Z18" s="95" t="str">
        <f>'Verification of Boxes'!J14</f>
        <v>GREHAN</v>
      </c>
      <c r="AA18" s="37">
        <f t="shared" si="24"/>
        <v>1111</v>
      </c>
      <c r="AB18" s="5"/>
      <c r="AC18" s="5">
        <f t="shared" si="20"/>
        <v>40</v>
      </c>
      <c r="AD18" s="5"/>
      <c r="AE18" s="5" t="str">
        <f t="shared" si="23"/>
        <v>elected</v>
      </c>
      <c r="AF18" s="5">
        <f t="shared" si="21"/>
        <v>40</v>
      </c>
      <c r="AG18" s="145" t="str">
        <f t="shared" si="22"/>
        <v>transfer largest surplus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1107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>IF('Stage 3'!A19&lt;&gt;0,'Stage 3'!A19,IF(K19&gt;=$M$3,"Elected",IF(BP16&lt;&gt;0,"Excluded",0)))</f>
        <v>0</v>
      </c>
      <c r="B19" s="235">
        <f>'Stage 3'!B19</f>
        <v>0</v>
      </c>
      <c r="C19" s="153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>'Stage 3'!H19</f>
        <v>64.48</v>
      </c>
      <c r="I19" s="135">
        <f>'Stage 3'!I19</f>
        <v>692.9</v>
      </c>
      <c r="J19" s="71">
        <f t="shared" si="12"/>
        <v>0.69</v>
      </c>
      <c r="K19" s="27">
        <f t="shared" si="13"/>
        <v>693.59</v>
      </c>
      <c r="L19" s="71"/>
      <c r="M19" s="27">
        <f t="shared" si="14"/>
        <v>0</v>
      </c>
      <c r="N19" s="71"/>
      <c r="O19" s="27">
        <f t="shared" si="15"/>
        <v>0</v>
      </c>
      <c r="P19" s="71"/>
      <c r="Q19" s="27">
        <f t="shared" si="16"/>
        <v>0</v>
      </c>
      <c r="R19" s="71"/>
      <c r="S19" s="27">
        <f t="shared" si="17"/>
        <v>0</v>
      </c>
      <c r="T19" s="71"/>
      <c r="U19" s="27">
        <f t="shared" si="18"/>
        <v>0</v>
      </c>
      <c r="V19" s="69"/>
      <c r="W19" s="39">
        <f t="shared" si="19"/>
        <v>0</v>
      </c>
      <c r="Z19" s="95" t="str">
        <f>'Verification of Boxes'!J15</f>
        <v>KENNEDY</v>
      </c>
      <c r="AA19" s="37">
        <f t="shared" si="24"/>
        <v>677.3</v>
      </c>
      <c r="AB19" s="5"/>
      <c r="AC19" s="5">
        <f t="shared" si="20"/>
        <v>-393.70000000000005</v>
      </c>
      <c r="AD19" s="5"/>
      <c r="AE19" s="5" t="str">
        <f t="shared" si="23"/>
        <v>continuing</v>
      </c>
      <c r="AF19" s="5">
        <f t="shared" si="21"/>
        <v>0</v>
      </c>
      <c r="AG19" s="145">
        <f t="shared" si="22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1107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3'!A20&lt;&gt;0,'Stage 3'!A20,IF(K20&gt;=$M$3,"Elected",IF(BP17&lt;&gt;0,"Excluded",0)))</f>
        <v>0</v>
      </c>
      <c r="B20" s="235">
        <f>'Stage 3'!B20</f>
        <v>0</v>
      </c>
      <c r="C20" s="153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>'Stage 3'!H20</f>
        <v>204.42</v>
      </c>
      <c r="I20" s="135">
        <f>'Stage 3'!I20</f>
        <v>900.42</v>
      </c>
      <c r="J20" s="71">
        <f t="shared" si="12"/>
        <v>0.39</v>
      </c>
      <c r="K20" s="27">
        <f t="shared" si="13"/>
        <v>900.81</v>
      </c>
      <c r="L20" s="71"/>
      <c r="M20" s="27">
        <f t="shared" si="14"/>
        <v>0</v>
      </c>
      <c r="N20" s="71"/>
      <c r="O20" s="27">
        <f t="shared" si="15"/>
        <v>0</v>
      </c>
      <c r="P20" s="71"/>
      <c r="Q20" s="27">
        <f t="shared" si="16"/>
        <v>0</v>
      </c>
      <c r="R20" s="71"/>
      <c r="S20" s="27">
        <f t="shared" si="17"/>
        <v>0</v>
      </c>
      <c r="T20" s="71"/>
      <c r="U20" s="27">
        <f t="shared" si="18"/>
        <v>0</v>
      </c>
      <c r="V20" s="69"/>
      <c r="W20" s="39">
        <f t="shared" si="19"/>
        <v>0</v>
      </c>
      <c r="Z20" s="95" t="str">
        <f>'Verification of Boxes'!J16</f>
        <v>MCEVOY</v>
      </c>
      <c r="AA20" s="37">
        <f t="shared" si="24"/>
        <v>0</v>
      </c>
      <c r="AB20" s="5"/>
      <c r="AC20" s="5">
        <f t="shared" si="20"/>
        <v>0</v>
      </c>
      <c r="AD20" s="5"/>
      <c r="AE20" s="5" t="str">
        <f t="shared" si="23"/>
        <v>excluded</v>
      </c>
      <c r="AF20" s="5">
        <f t="shared" si="21"/>
        <v>0</v>
      </c>
      <c r="AG20" s="145">
        <f t="shared" si="22"/>
        <v>0</v>
      </c>
      <c r="AJ20" s="339" t="s">
        <v>184</v>
      </c>
      <c r="AK20" s="340"/>
      <c r="AL20" s="142">
        <f>AL46</f>
        <v>476.42</v>
      </c>
      <c r="AM20" s="118"/>
      <c r="AN20" s="142">
        <f>AL20+AG2</f>
        <v>535.02</v>
      </c>
      <c r="AO20" s="334">
        <f>IF(AN20&gt;AG4,0,IF(AN20&lt;AL21,"Exclude lowest candidate",0))</f>
        <v>0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3'!A21&lt;&gt;0,'Stage 3'!A21,IF(K21&gt;=$M$3,"Elected",IF(BP18&lt;&gt;0,"Excluded",0)))</f>
        <v>0</v>
      </c>
      <c r="B21" s="235">
        <f>'Stage 3'!B21</f>
        <v>0</v>
      </c>
      <c r="C21" s="153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 t="shared" si="12"/>
        <v>0</v>
      </c>
      <c r="K21" s="27">
        <f t="shared" si="13"/>
        <v>0</v>
      </c>
      <c r="L21" s="71"/>
      <c r="M21" s="27">
        <f t="shared" si="14"/>
        <v>0</v>
      </c>
      <c r="N21" s="71"/>
      <c r="O21" s="27">
        <f t="shared" si="15"/>
        <v>0</v>
      </c>
      <c r="P21" s="71"/>
      <c r="Q21" s="27">
        <f t="shared" si="16"/>
        <v>0</v>
      </c>
      <c r="R21" s="71"/>
      <c r="S21" s="27">
        <f t="shared" si="17"/>
        <v>0</v>
      </c>
      <c r="T21" s="71"/>
      <c r="U21" s="27">
        <f t="shared" si="18"/>
        <v>0</v>
      </c>
      <c r="V21" s="69"/>
      <c r="W21" s="39">
        <f t="shared" si="19"/>
        <v>0</v>
      </c>
      <c r="Z21" s="95" t="str">
        <f>'Verification of Boxes'!J17</f>
        <v>MITCHELL</v>
      </c>
      <c r="AA21" s="37">
        <f t="shared" si="24"/>
        <v>962.86</v>
      </c>
      <c r="AB21" s="5"/>
      <c r="AC21" s="5">
        <f t="shared" si="20"/>
        <v>-108.13999999999999</v>
      </c>
      <c r="AD21" s="5"/>
      <c r="AE21" s="5" t="str">
        <f t="shared" si="23"/>
        <v>continuing</v>
      </c>
      <c r="AF21" s="5">
        <f t="shared" si="21"/>
        <v>0</v>
      </c>
      <c r="AG21" s="145">
        <f t="shared" si="22"/>
        <v>0</v>
      </c>
      <c r="AJ21" s="341" t="s">
        <v>185</v>
      </c>
      <c r="AK21" s="293"/>
      <c r="AL21" s="37">
        <f>IF(AL20=1000000,0,AN46)</f>
        <v>494.42</v>
      </c>
      <c r="AM21" s="5">
        <f>AL21-AL20</f>
        <v>18</v>
      </c>
      <c r="AN21" s="5">
        <f>IF(AL21=1000000,0,IF(AN20=0,0,AN20+AL21))</f>
        <v>1029.44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3'!A22&lt;&gt;0,'Stage 3'!A22,IF(K22&gt;=$M$3,"Elected",IF(BP19&lt;&gt;0,"Excluded",0)))</f>
        <v>0</v>
      </c>
      <c r="B22" s="235">
        <f>'Stage 3'!B22</f>
        <v>0</v>
      </c>
      <c r="C22" s="153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 t="shared" si="12"/>
        <v>0</v>
      </c>
      <c r="K22" s="27">
        <f t="shared" si="13"/>
        <v>0</v>
      </c>
      <c r="L22" s="71"/>
      <c r="M22" s="27">
        <f t="shared" si="14"/>
        <v>0</v>
      </c>
      <c r="N22" s="71"/>
      <c r="O22" s="27">
        <f t="shared" si="15"/>
        <v>0</v>
      </c>
      <c r="P22" s="71"/>
      <c r="Q22" s="27">
        <f t="shared" si="16"/>
        <v>0</v>
      </c>
      <c r="R22" s="71"/>
      <c r="S22" s="27">
        <f t="shared" si="17"/>
        <v>0</v>
      </c>
      <c r="T22" s="71"/>
      <c r="U22" s="27">
        <f t="shared" si="18"/>
        <v>0</v>
      </c>
      <c r="V22" s="69"/>
      <c r="W22" s="39">
        <f t="shared" si="19"/>
        <v>0</v>
      </c>
      <c r="Z22" s="95" t="str">
        <f>'Verification of Boxes'!J18</f>
        <v>PALMER</v>
      </c>
      <c r="AA22" s="37">
        <f t="shared" si="24"/>
        <v>692.9</v>
      </c>
      <c r="AB22" s="5"/>
      <c r="AC22" s="5">
        <f t="shared" si="20"/>
        <v>-378.1</v>
      </c>
      <c r="AD22" s="5"/>
      <c r="AE22" s="5" t="str">
        <f t="shared" si="23"/>
        <v>continuing</v>
      </c>
      <c r="AF22" s="5">
        <f t="shared" si="21"/>
        <v>0</v>
      </c>
      <c r="AG22" s="145">
        <f t="shared" si="22"/>
        <v>0</v>
      </c>
      <c r="AJ22" s="341" t="s">
        <v>185</v>
      </c>
      <c r="AK22" s="293"/>
      <c r="AL22" s="37">
        <f>IF(AL21=1000000,0,AP46)</f>
        <v>677.3</v>
      </c>
      <c r="AM22" s="5">
        <f>IF(AL22=1000000,0,IF(AM21=0,0,AL22-AL21))</f>
        <v>182.87999999999994</v>
      </c>
      <c r="AN22" s="5">
        <f>IF(AL22=1000000,0,IF(AN21=0,0,AN21+AL22))</f>
        <v>1706.74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3'!A23&lt;&gt;0,'Stage 3'!A23,IF(K23&gt;=$M$3,"Elected",IF(BP20&lt;&gt;0,"Excluded",0)))</f>
        <v>0</v>
      </c>
      <c r="B23" s="235">
        <f>'Stage 3'!B23</f>
        <v>0</v>
      </c>
      <c r="C23" s="153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 t="shared" si="12"/>
        <v>0</v>
      </c>
      <c r="K23" s="27">
        <f t="shared" si="13"/>
        <v>0</v>
      </c>
      <c r="L23" s="71"/>
      <c r="M23" s="27">
        <f t="shared" si="14"/>
        <v>0</v>
      </c>
      <c r="N23" s="71"/>
      <c r="O23" s="27">
        <f t="shared" si="15"/>
        <v>0</v>
      </c>
      <c r="P23" s="71"/>
      <c r="Q23" s="27">
        <f t="shared" si="16"/>
        <v>0</v>
      </c>
      <c r="R23" s="71"/>
      <c r="S23" s="27">
        <f t="shared" si="17"/>
        <v>0</v>
      </c>
      <c r="T23" s="71"/>
      <c r="U23" s="27">
        <f t="shared" si="18"/>
        <v>0</v>
      </c>
      <c r="V23" s="69"/>
      <c r="W23" s="39">
        <f t="shared" si="19"/>
        <v>0</v>
      </c>
      <c r="Z23" s="95" t="str">
        <f>'Verification of Boxes'!J19</f>
        <v>PORTER</v>
      </c>
      <c r="AA23" s="37">
        <f t="shared" si="24"/>
        <v>900.42</v>
      </c>
      <c r="AB23" s="5"/>
      <c r="AC23" s="5">
        <f t="shared" si="20"/>
        <v>-170.58000000000004</v>
      </c>
      <c r="AD23" s="5"/>
      <c r="AE23" s="5" t="str">
        <f t="shared" si="23"/>
        <v>continuing</v>
      </c>
      <c r="AF23" s="5">
        <f t="shared" si="21"/>
        <v>0</v>
      </c>
      <c r="AG23" s="145">
        <f t="shared" si="22"/>
        <v>0</v>
      </c>
      <c r="AJ23" s="341" t="s">
        <v>185</v>
      </c>
      <c r="AK23" s="293"/>
      <c r="AL23" s="37">
        <f>IF(AL22=1000000,0,AR46)</f>
        <v>692.9</v>
      </c>
      <c r="AM23" s="5">
        <f>IF(AL23=1000000,0,IF(AM22=0,0,AL23-AL22))</f>
        <v>15.600000000000023</v>
      </c>
      <c r="AN23" s="5">
        <f>IF(AL23=1000000,0,IF(AN22=0,0,AN22+AL23))</f>
        <v>2399.64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0.03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3'!A24&lt;&gt;0,'Stage 3'!A24,IF(K24&gt;=$M$3,"Elected",IF(BP21&lt;&gt;0,"Excluded",0)))</f>
        <v>0</v>
      </c>
      <c r="B24" s="235">
        <f>'Stage 3'!B24</f>
        <v>0</v>
      </c>
      <c r="C24" s="153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 t="shared" si="12"/>
        <v>0</v>
      </c>
      <c r="K24" s="27">
        <f t="shared" si="13"/>
        <v>0</v>
      </c>
      <c r="L24" s="71"/>
      <c r="M24" s="27">
        <f t="shared" si="14"/>
        <v>0</v>
      </c>
      <c r="N24" s="71"/>
      <c r="O24" s="27">
        <f t="shared" si="15"/>
        <v>0</v>
      </c>
      <c r="P24" s="71"/>
      <c r="Q24" s="27">
        <f t="shared" si="16"/>
        <v>0</v>
      </c>
      <c r="R24" s="71"/>
      <c r="S24" s="27">
        <f t="shared" si="17"/>
        <v>0</v>
      </c>
      <c r="T24" s="71"/>
      <c r="U24" s="27">
        <f t="shared" si="18"/>
        <v>0</v>
      </c>
      <c r="V24" s="69"/>
      <c r="W24" s="39">
        <f t="shared" si="19"/>
        <v>0</v>
      </c>
      <c r="Z24" s="95">
        <f>'Verification of Boxes'!J20</f>
        <v>0</v>
      </c>
      <c r="AA24" s="37">
        <f t="shared" si="24"/>
        <v>0</v>
      </c>
      <c r="AB24" s="5"/>
      <c r="AC24" s="5">
        <f t="shared" si="20"/>
        <v>0</v>
      </c>
      <c r="AD24" s="5"/>
      <c r="AE24" s="5">
        <f t="shared" si="23"/>
        <v>0</v>
      </c>
      <c r="AF24" s="5">
        <f t="shared" si="21"/>
        <v>0</v>
      </c>
      <c r="AG24" s="145">
        <f t="shared" si="22"/>
        <v>0</v>
      </c>
      <c r="AJ24" s="341" t="s">
        <v>185</v>
      </c>
      <c r="AK24" s="293"/>
      <c r="AL24" s="37">
        <f>IF(AR46=1000000,0,AU46)</f>
        <v>900.42</v>
      </c>
      <c r="AM24" s="5">
        <f>IF(AL24=1000000,0,IF(AM23=0,0,AL24-AL23))</f>
        <v>207.51999999999998</v>
      </c>
      <c r="AN24" s="5">
        <f>IF(AL24=1000000,0,IF(AN23=0,0,AN23+AL24))</f>
        <v>3300.06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189</v>
      </c>
      <c r="BA24" s="3" t="s">
        <v>190</v>
      </c>
      <c r="BB24" s="3"/>
      <c r="BC24" s="50">
        <f>IF(BC19&gt;BC12,BC18*BC23,0)</f>
        <v>33.21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3'!A25&lt;&gt;0,'Stage 3'!A25,IF(K25&gt;=$M$3,"Elected",IF(BP22&lt;&gt;0,"Excluded",0)))</f>
        <v>0</v>
      </c>
      <c r="B25" s="235">
        <f>'Stage 3'!B25</f>
        <v>0</v>
      </c>
      <c r="C25" s="153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 t="shared" si="12"/>
        <v>0</v>
      </c>
      <c r="K25" s="27">
        <f t="shared" si="13"/>
        <v>0</v>
      </c>
      <c r="L25" s="71"/>
      <c r="M25" s="27">
        <f t="shared" si="14"/>
        <v>0</v>
      </c>
      <c r="N25" s="71"/>
      <c r="O25" s="27">
        <f t="shared" si="15"/>
        <v>0</v>
      </c>
      <c r="P25" s="71"/>
      <c r="Q25" s="27">
        <f t="shared" si="16"/>
        <v>0</v>
      </c>
      <c r="R25" s="71"/>
      <c r="S25" s="27">
        <f t="shared" si="17"/>
        <v>0</v>
      </c>
      <c r="T25" s="71"/>
      <c r="U25" s="27">
        <f t="shared" si="18"/>
        <v>0</v>
      </c>
      <c r="V25" s="69"/>
      <c r="W25" s="39">
        <f t="shared" si="19"/>
        <v>0</v>
      </c>
      <c r="Z25" s="95">
        <f>'Verification of Boxes'!J21</f>
        <v>0</v>
      </c>
      <c r="AA25" s="37">
        <f t="shared" si="24"/>
        <v>0</v>
      </c>
      <c r="AB25" s="5"/>
      <c r="AC25" s="5">
        <f t="shared" si="20"/>
        <v>0</v>
      </c>
      <c r="AD25" s="5"/>
      <c r="AE25" s="5">
        <f t="shared" si="23"/>
        <v>0</v>
      </c>
      <c r="AF25" s="5">
        <f t="shared" si="21"/>
        <v>0</v>
      </c>
      <c r="AG25" s="145">
        <f t="shared" si="22"/>
        <v>0</v>
      </c>
      <c r="AJ25" s="355" t="s">
        <v>185</v>
      </c>
      <c r="AK25" s="356"/>
      <c r="AL25" s="89">
        <f>IF(AL24=1000000,0,AW46)</f>
        <v>962.86</v>
      </c>
      <c r="AM25" s="90">
        <f>IF(AL25=1000000,0,IF(AM24=0,0,AL25-AL24))</f>
        <v>62.440000000000055</v>
      </c>
      <c r="AN25" s="90">
        <f>IF(AL25=1000000,0,IF(AN24=0,0,AN24+AL25))</f>
        <v>4262.92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6.7899999999999991</v>
      </c>
      <c r="BE25" s="61" t="s">
        <v>193</v>
      </c>
      <c r="BF25" s="5">
        <f>SUM(BF5:BF24)</f>
        <v>1107</v>
      </c>
      <c r="BG25" s="100">
        <f>SUM(BG5:BG24)</f>
        <v>33.209999999999994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3'!A26&lt;&gt;0,'Stage 3'!A26,IF(K26&gt;=$M$3,"Elected",IF(BP23&lt;&gt;0,"Excluded",0)))</f>
        <v>0</v>
      </c>
      <c r="B26" s="235">
        <f>'Stage 3'!B26</f>
        <v>0</v>
      </c>
      <c r="C26" s="153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 t="shared" si="12"/>
        <v>0</v>
      </c>
      <c r="K26" s="27">
        <f t="shared" si="13"/>
        <v>0</v>
      </c>
      <c r="L26" s="71"/>
      <c r="M26" s="27">
        <f t="shared" si="14"/>
        <v>0</v>
      </c>
      <c r="N26" s="71"/>
      <c r="O26" s="27">
        <f t="shared" si="15"/>
        <v>0</v>
      </c>
      <c r="P26" s="71"/>
      <c r="Q26" s="27">
        <f t="shared" si="16"/>
        <v>0</v>
      </c>
      <c r="R26" s="71"/>
      <c r="S26" s="27">
        <f t="shared" si="17"/>
        <v>0</v>
      </c>
      <c r="T26" s="71"/>
      <c r="U26" s="27">
        <f t="shared" si="18"/>
        <v>0</v>
      </c>
      <c r="V26" s="69"/>
      <c r="W26" s="39">
        <f t="shared" si="19"/>
        <v>0</v>
      </c>
      <c r="Z26" s="95">
        <f>'Verification of Boxes'!J22</f>
        <v>0</v>
      </c>
      <c r="AA26" s="37">
        <f t="shared" si="24"/>
        <v>0</v>
      </c>
      <c r="AB26" s="5"/>
      <c r="AC26" s="5">
        <f t="shared" si="20"/>
        <v>0</v>
      </c>
      <c r="AD26" s="5"/>
      <c r="AE26" s="5">
        <f t="shared" si="23"/>
        <v>0</v>
      </c>
      <c r="AF26" s="5">
        <f t="shared" si="21"/>
        <v>0</v>
      </c>
      <c r="AG26" s="145">
        <f t="shared" si="22"/>
        <v>0</v>
      </c>
      <c r="AT26" s="5"/>
      <c r="AU26" s="118"/>
      <c r="AV26" s="118">
        <f>SUM(AV27:AV32)</f>
        <v>0</v>
      </c>
      <c r="AW26" s="118"/>
      <c r="BA26" s="3"/>
      <c r="BB26" s="3"/>
      <c r="BC26" s="2"/>
      <c r="BE26" s="61" t="s">
        <v>194</v>
      </c>
      <c r="BF26" s="64">
        <v>4</v>
      </c>
      <c r="BG26" s="100">
        <f>IF(AT5="T",BC25+BC31,0)</f>
        <v>6.7899999999999991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3'!A27&lt;&gt;0,'Stage 3'!A27,IF(K27&gt;=$M$3,"Elected",IF(BP24&lt;&gt;0,"Excluded",0)))</f>
        <v>0</v>
      </c>
      <c r="B27" s="235">
        <f>'Stage 3'!B27</f>
        <v>0</v>
      </c>
      <c r="C27" s="153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 t="shared" si="12"/>
        <v>0</v>
      </c>
      <c r="K27" s="27">
        <f t="shared" si="13"/>
        <v>0</v>
      </c>
      <c r="L27" s="71"/>
      <c r="M27" s="27">
        <f t="shared" si="14"/>
        <v>0</v>
      </c>
      <c r="N27" s="71"/>
      <c r="O27" s="27">
        <f t="shared" si="15"/>
        <v>0</v>
      </c>
      <c r="P27" s="71"/>
      <c r="Q27" s="27">
        <f t="shared" si="16"/>
        <v>0</v>
      </c>
      <c r="R27" s="71"/>
      <c r="S27" s="27">
        <f t="shared" si="17"/>
        <v>0</v>
      </c>
      <c r="T27" s="71"/>
      <c r="U27" s="27">
        <f t="shared" si="18"/>
        <v>0</v>
      </c>
      <c r="V27" s="69"/>
      <c r="W27" s="39">
        <f t="shared" si="19"/>
        <v>0</v>
      </c>
      <c r="Z27" s="95">
        <f>'Verification of Boxes'!J23</f>
        <v>0</v>
      </c>
      <c r="AA27" s="37">
        <f t="shared" si="24"/>
        <v>0</v>
      </c>
      <c r="AB27" s="5"/>
      <c r="AC27" s="5">
        <f t="shared" si="20"/>
        <v>0</v>
      </c>
      <c r="AD27" s="5"/>
      <c r="AE27" s="5">
        <f t="shared" si="23"/>
        <v>0</v>
      </c>
      <c r="AF27" s="5">
        <f t="shared" si="21"/>
        <v>0</v>
      </c>
      <c r="AG27" s="145">
        <f t="shared" si="22"/>
        <v>0</v>
      </c>
      <c r="AJ27" s="98"/>
      <c r="AK27" s="98"/>
      <c r="AT27" s="5">
        <f>AW27</f>
        <v>0</v>
      </c>
      <c r="AU27" s="5">
        <f t="shared" ref="AU27:AU32" si="25">IF(AO20&lt;&gt;0,1,0)</f>
        <v>0</v>
      </c>
      <c r="AV27" s="5">
        <f>AU27</f>
        <v>0</v>
      </c>
      <c r="AW27" s="5">
        <f t="shared" ref="AW27:AW32" si="26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1111</v>
      </c>
      <c r="BG27" s="101">
        <f>SUM(BG25:BG26)</f>
        <v>39.999999999999993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3'!A28&lt;&gt;0,'Stage 3'!A28,IF(K28&gt;=$M$3,"Elected",IF(BP25&lt;&gt;0,"Excluded",0)))</f>
        <v>0</v>
      </c>
      <c r="B28" s="235">
        <f>'Stage 3'!B28</f>
        <v>0</v>
      </c>
      <c r="C28" s="153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 t="shared" si="12"/>
        <v>0</v>
      </c>
      <c r="K28" s="27">
        <f t="shared" si="13"/>
        <v>0</v>
      </c>
      <c r="L28" s="71"/>
      <c r="M28" s="27">
        <f t="shared" si="14"/>
        <v>0</v>
      </c>
      <c r="N28" s="71"/>
      <c r="O28" s="27">
        <f t="shared" si="15"/>
        <v>0</v>
      </c>
      <c r="P28" s="71"/>
      <c r="Q28" s="27">
        <f t="shared" si="16"/>
        <v>0</v>
      </c>
      <c r="R28" s="71"/>
      <c r="S28" s="27">
        <f t="shared" si="17"/>
        <v>0</v>
      </c>
      <c r="T28" s="71"/>
      <c r="U28" s="27">
        <f t="shared" si="18"/>
        <v>0</v>
      </c>
      <c r="V28" s="69"/>
      <c r="W28" s="39">
        <f t="shared" si="19"/>
        <v>0</v>
      </c>
      <c r="Z28" s="95">
        <f>'Verification of Boxes'!J24</f>
        <v>0</v>
      </c>
      <c r="AA28" s="37">
        <f t="shared" si="24"/>
        <v>0</v>
      </c>
      <c r="AB28" s="5"/>
      <c r="AC28" s="5">
        <f t="shared" si="20"/>
        <v>0</v>
      </c>
      <c r="AD28" s="5"/>
      <c r="AE28" s="5">
        <f t="shared" si="23"/>
        <v>0</v>
      </c>
      <c r="AF28" s="5">
        <f t="shared" si="21"/>
        <v>0</v>
      </c>
      <c r="AG28" s="145">
        <f t="shared" si="22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0</v>
      </c>
      <c r="AU28" s="5">
        <f t="shared" si="25"/>
        <v>0</v>
      </c>
      <c r="AV28" s="5">
        <f>AV27+AU28</f>
        <v>0</v>
      </c>
      <c r="AW28" s="5">
        <f t="shared" si="26"/>
        <v>0</v>
      </c>
      <c r="BA28" s="3"/>
      <c r="BB28" s="3"/>
      <c r="BC28" s="2"/>
      <c r="BR28" s="19" t="s">
        <v>123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3'!A29&lt;&gt;0,'Stage 3'!A29,IF(K29&gt;=$M$3,"Elected",IF(BP26&lt;&gt;0,"Excluded",0)))</f>
        <v>0</v>
      </c>
      <c r="B29" s="235">
        <f>'Stage 3'!B29</f>
        <v>0</v>
      </c>
      <c r="C29" s="153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 t="shared" si="12"/>
        <v>0</v>
      </c>
      <c r="K29" s="27">
        <f t="shared" si="13"/>
        <v>0</v>
      </c>
      <c r="L29" s="71"/>
      <c r="M29" s="27">
        <f t="shared" si="14"/>
        <v>0</v>
      </c>
      <c r="N29" s="71"/>
      <c r="O29" s="27">
        <f t="shared" si="15"/>
        <v>0</v>
      </c>
      <c r="P29" s="71"/>
      <c r="Q29" s="27">
        <f t="shared" si="16"/>
        <v>0</v>
      </c>
      <c r="R29" s="71"/>
      <c r="S29" s="27">
        <f t="shared" si="17"/>
        <v>0</v>
      </c>
      <c r="T29" s="71"/>
      <c r="U29" s="27">
        <f t="shared" si="18"/>
        <v>0</v>
      </c>
      <c r="V29" s="69"/>
      <c r="W29" s="39">
        <f t="shared" si="19"/>
        <v>0</v>
      </c>
      <c r="Z29" s="95">
        <f>'Verification of Boxes'!J25</f>
        <v>0</v>
      </c>
      <c r="AA29" s="37">
        <f t="shared" si="24"/>
        <v>0</v>
      </c>
      <c r="AB29" s="5"/>
      <c r="AC29" s="5">
        <f t="shared" si="20"/>
        <v>0</v>
      </c>
      <c r="AD29" s="5"/>
      <c r="AE29" s="5">
        <f t="shared" si="23"/>
        <v>0</v>
      </c>
      <c r="AF29" s="5">
        <f t="shared" si="21"/>
        <v>0</v>
      </c>
      <c r="AG29" s="145">
        <f t="shared" si="22"/>
        <v>0</v>
      </c>
      <c r="AL29" s="330"/>
      <c r="AM29" s="331"/>
      <c r="AN29" s="331"/>
      <c r="AO29" s="331"/>
      <c r="AP29" s="331"/>
      <c r="AQ29" s="332"/>
      <c r="AT29" s="5">
        <f>AT28+AW29</f>
        <v>0</v>
      </c>
      <c r="AU29" s="5">
        <f t="shared" si="25"/>
        <v>0</v>
      </c>
      <c r="AV29" s="5">
        <f>AV28+AU29</f>
        <v>0</v>
      </c>
      <c r="AW29" s="5">
        <f t="shared" si="26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1111</v>
      </c>
      <c r="BR29" s="5" t="s">
        <v>200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3'!A30&lt;&gt;0,'Stage 3'!A30,IF(K30&gt;=$M$3,"Elected",IF(BP27&lt;&gt;0,"Excluded",0)))</f>
        <v>0</v>
      </c>
      <c r="B30" s="235">
        <f>'Stage 3'!B30</f>
        <v>0</v>
      </c>
      <c r="C30" s="154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 t="shared" si="12"/>
        <v>0</v>
      </c>
      <c r="K30" s="27">
        <f t="shared" si="13"/>
        <v>0</v>
      </c>
      <c r="L30" s="71"/>
      <c r="M30" s="27">
        <f t="shared" si="14"/>
        <v>0</v>
      </c>
      <c r="N30" s="71"/>
      <c r="O30" s="27">
        <f t="shared" si="15"/>
        <v>0</v>
      </c>
      <c r="P30" s="71"/>
      <c r="Q30" s="27">
        <f t="shared" si="16"/>
        <v>0</v>
      </c>
      <c r="R30" s="71"/>
      <c r="S30" s="27">
        <f t="shared" si="17"/>
        <v>0</v>
      </c>
      <c r="T30" s="71"/>
      <c r="U30" s="27">
        <f t="shared" si="18"/>
        <v>0</v>
      </c>
      <c r="V30" s="69"/>
      <c r="W30" s="39">
        <f t="shared" si="19"/>
        <v>0</v>
      </c>
      <c r="Z30" s="95">
        <f>'Verification of Boxes'!J26</f>
        <v>0</v>
      </c>
      <c r="AA30" s="37">
        <f t="shared" si="24"/>
        <v>0</v>
      </c>
      <c r="AB30" s="5"/>
      <c r="AC30" s="5">
        <f t="shared" si="20"/>
        <v>0</v>
      </c>
      <c r="AD30" s="5"/>
      <c r="AE30" s="5">
        <f t="shared" si="23"/>
        <v>0</v>
      </c>
      <c r="AF30" s="5">
        <f t="shared" si="21"/>
        <v>0</v>
      </c>
      <c r="AG30" s="145">
        <f t="shared" si="22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5"/>
        <v>0</v>
      </c>
      <c r="AV30" s="5">
        <f>AV29+AU30</f>
        <v>0</v>
      </c>
      <c r="AW30" s="5">
        <f t="shared" si="26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234</v>
      </c>
      <c r="BJ30" s="328"/>
      <c r="BK30" s="329"/>
      <c r="BX30" s="333" t="str">
        <f>IF(BW31=BW69,"Calculations OK","Check Count for Error")</f>
        <v>Calculations OK</v>
      </c>
      <c r="BY30" s="333"/>
    </row>
    <row r="31" spans="1:83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1">
        <f>'Stage 3'!H31</f>
        <v>20.059999999999999</v>
      </c>
      <c r="I31" s="135">
        <f>'Stage 3'!I31</f>
        <v>20.079999999999995</v>
      </c>
      <c r="J31" s="71">
        <f>$BK69</f>
        <v>6.7899999999999991</v>
      </c>
      <c r="K31" s="40">
        <f t="shared" si="13"/>
        <v>26.869999999999994</v>
      </c>
      <c r="L31" s="72"/>
      <c r="M31" s="40">
        <f t="shared" si="14"/>
        <v>0</v>
      </c>
      <c r="N31" s="72"/>
      <c r="O31" s="40">
        <f t="shared" si="15"/>
        <v>0</v>
      </c>
      <c r="P31" s="72"/>
      <c r="Q31" s="40">
        <f t="shared" si="16"/>
        <v>0</v>
      </c>
      <c r="R31" s="72"/>
      <c r="S31" s="40">
        <f t="shared" si="17"/>
        <v>0</v>
      </c>
      <c r="T31" s="72"/>
      <c r="U31" s="40">
        <f t="shared" si="18"/>
        <v>0</v>
      </c>
      <c r="V31" s="70"/>
      <c r="W31" s="41">
        <f t="shared" si="19"/>
        <v>0</v>
      </c>
      <c r="Z31" s="95">
        <f>'Verification of Boxes'!J27</f>
        <v>0</v>
      </c>
      <c r="AA31" s="37">
        <f t="shared" si="24"/>
        <v>0</v>
      </c>
      <c r="AB31" s="5"/>
      <c r="AC31" s="5">
        <f t="shared" si="20"/>
        <v>0</v>
      </c>
      <c r="AD31" s="5"/>
      <c r="AE31" s="5">
        <f t="shared" si="23"/>
        <v>0</v>
      </c>
      <c r="AF31" s="5">
        <f t="shared" si="21"/>
        <v>0</v>
      </c>
      <c r="AG31" s="145">
        <f t="shared" si="22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0</v>
      </c>
      <c r="AU31" s="5">
        <f t="shared" si="25"/>
        <v>0</v>
      </c>
      <c r="AV31" s="5">
        <f>AV30+AU31</f>
        <v>0</v>
      </c>
      <c r="AW31" s="5">
        <f t="shared" si="26"/>
        <v>0</v>
      </c>
      <c r="AZ31" t="s">
        <v>203</v>
      </c>
      <c r="BA31" s="3" t="s">
        <v>204</v>
      </c>
      <c r="BB31" s="3"/>
      <c r="BC31" s="50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V31" t="s">
        <v>119</v>
      </c>
      <c r="BW31" s="5">
        <f>BT29+BV29+BX29+BZ29+CB29+CD29</f>
        <v>0</v>
      </c>
      <c r="BX31" s="311"/>
      <c r="BY31" s="311"/>
      <c r="BZ31" s="5">
        <f>BW69-BW31</f>
        <v>0</v>
      </c>
      <c r="CB31" s="327" t="s">
        <v>234</v>
      </c>
      <c r="CC31" s="328"/>
      <c r="CD31" s="328"/>
      <c r="CE31" s="32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1"/>
      <c r="I32" s="135">
        <f>'Stage 3'!I32</f>
        <v>7496</v>
      </c>
      <c r="J32" s="192"/>
      <c r="K32" s="49">
        <f>SUM(K11:K31)</f>
        <v>7495.9999999999991</v>
      </c>
      <c r="L32" s="192"/>
      <c r="M32" s="49">
        <f>SUM(M11:M31)</f>
        <v>0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4"/>
        <v>0</v>
      </c>
      <c r="AB32" s="5"/>
      <c r="AC32" s="5">
        <f t="shared" si="20"/>
        <v>0</v>
      </c>
      <c r="AD32" s="5"/>
      <c r="AE32" s="5">
        <f t="shared" si="23"/>
        <v>0</v>
      </c>
      <c r="AF32" s="5">
        <f t="shared" si="21"/>
        <v>0</v>
      </c>
      <c r="AG32" s="145">
        <f t="shared" si="22"/>
        <v>0</v>
      </c>
      <c r="AL32" s="330"/>
      <c r="AM32" s="331"/>
      <c r="AN32" s="331"/>
      <c r="AO32" s="331"/>
      <c r="AP32" s="331"/>
      <c r="AQ32" s="332"/>
      <c r="AT32" s="5">
        <f>AT31+AW32</f>
        <v>0</v>
      </c>
      <c r="AU32" s="5">
        <f t="shared" si="25"/>
        <v>0</v>
      </c>
      <c r="AV32" s="5">
        <f>AV31+AU32</f>
        <v>0</v>
      </c>
      <c r="AW32" s="5">
        <f t="shared" si="26"/>
        <v>0</v>
      </c>
      <c r="BF32" s="311"/>
      <c r="BG32" s="311"/>
      <c r="BX32" s="311"/>
      <c r="BY32" s="311"/>
      <c r="CB32" s="330"/>
      <c r="CC32" s="331"/>
      <c r="CD32" s="331"/>
      <c r="CE32" s="332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Z33" s="97">
        <f>'Verification of Boxes'!J29</f>
        <v>0</v>
      </c>
      <c r="AA33" s="89">
        <f>I30</f>
        <v>0</v>
      </c>
      <c r="AB33" s="90"/>
      <c r="AC33" s="90">
        <f t="shared" si="20"/>
        <v>0</v>
      </c>
      <c r="AD33" s="90"/>
      <c r="AE33" s="90">
        <f t="shared" si="23"/>
        <v>0</v>
      </c>
      <c r="AF33" s="90">
        <f t="shared" si="21"/>
        <v>0</v>
      </c>
      <c r="AG33" s="146">
        <f t="shared" si="22"/>
        <v>0</v>
      </c>
    </row>
    <row r="34" spans="4:75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5">
        <f>'Stage 3'!I34</f>
        <v>0</v>
      </c>
      <c r="J34" s="219"/>
      <c r="K34" s="183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</row>
    <row r="36" spans="4:75" x14ac:dyDescent="0.25">
      <c r="D36" s="25"/>
      <c r="E36" s="2"/>
      <c r="G36" s="2"/>
      <c r="I36" s="2"/>
    </row>
    <row r="38" spans="4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7">AL39+AK40</f>
        <v>0</v>
      </c>
      <c r="AM40" s="5">
        <f t="shared" si="27"/>
        <v>0</v>
      </c>
      <c r="AN40" s="5">
        <f t="shared" si="27"/>
        <v>0</v>
      </c>
      <c r="AO40" s="5">
        <f t="shared" si="27"/>
        <v>0</v>
      </c>
      <c r="AP40" s="5">
        <f t="shared" si="27"/>
        <v>0</v>
      </c>
      <c r="AQ40" s="5">
        <f t="shared" si="27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8">IF(AK40=AL40,1,0)</f>
        <v>1</v>
      </c>
      <c r="AM41" s="5">
        <f t="shared" si="28"/>
        <v>1</v>
      </c>
      <c r="AN41" s="5">
        <f t="shared" si="28"/>
        <v>1</v>
      </c>
      <c r="AO41" s="5">
        <f t="shared" si="28"/>
        <v>1</v>
      </c>
      <c r="AP41" s="5">
        <f t="shared" si="28"/>
        <v>1</v>
      </c>
      <c r="AQ41" s="5">
        <f t="shared" si="28"/>
        <v>1</v>
      </c>
    </row>
    <row r="42" spans="4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29">IF(AM40=AL38,"add",0)</f>
        <v>0</v>
      </c>
      <c r="AM42" s="5">
        <f t="shared" si="29"/>
        <v>0</v>
      </c>
      <c r="AN42" s="5">
        <f t="shared" si="29"/>
        <v>0</v>
      </c>
      <c r="AO42" s="5">
        <f t="shared" si="29"/>
        <v>0</v>
      </c>
      <c r="AP42" s="5">
        <f t="shared" si="29"/>
        <v>0</v>
      </c>
      <c r="AQ42" s="5">
        <f t="shared" si="29"/>
        <v>0</v>
      </c>
    </row>
    <row r="43" spans="4:75" ht="12.75" customHeight="1" x14ac:dyDescent="0.25">
      <c r="Z43" s="250"/>
      <c r="AA43" s="250"/>
      <c r="AB43" s="250"/>
      <c r="AC43" s="250">
        <f>AG2</f>
        <v>58.599999999999909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FRENCH</v>
      </c>
      <c r="AA44" s="250">
        <v>476.42</v>
      </c>
      <c r="AB44" s="250">
        <v>476.42</v>
      </c>
      <c r="AC44" s="250">
        <f>AC43+AA44</f>
        <v>535.02</v>
      </c>
      <c r="AD44" s="250"/>
      <c r="AE44" s="252">
        <f>IF(AC44&gt;$AG$4,0,IF(AC44&lt;AA45,"Exclude this candidate",0))</f>
        <v>0</v>
      </c>
      <c r="AF44" s="250"/>
      <c r="AG44" s="250"/>
    </row>
    <row r="45" spans="4:75" ht="18" customHeight="1" x14ac:dyDescent="0.35">
      <c r="Z45" s="253" t="str">
        <v>FLYNN</v>
      </c>
      <c r="AA45" s="250">
        <v>494.42</v>
      </c>
      <c r="AB45" s="250">
        <v>494.42</v>
      </c>
      <c r="AC45" s="250">
        <f>AC44+AA45</f>
        <v>1029.44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4:75" x14ac:dyDescent="0.25">
      <c r="Z46" s="253" t="str">
        <v>KENNEDY</v>
      </c>
      <c r="AA46" s="250">
        <v>677.3</v>
      </c>
      <c r="AB46" s="250">
        <v>677.3</v>
      </c>
      <c r="AC46" s="250">
        <f t="shared" ref="AC46:AC63" si="30">AC45+AA46</f>
        <v>1706.74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476.42</v>
      </c>
      <c r="AN46" s="2">
        <f>AN47+AL46</f>
        <v>494.42</v>
      </c>
      <c r="AP46" s="2">
        <f>AP47+AN46</f>
        <v>677.3</v>
      </c>
      <c r="AR46" s="2">
        <f>AR47+AP46</f>
        <v>692.9</v>
      </c>
      <c r="AS46" s="2"/>
      <c r="AU46" s="2">
        <f>AU47+AR46</f>
        <v>900.42</v>
      </c>
      <c r="AW46" s="2">
        <f>AW47+AU46</f>
        <v>962.86</v>
      </c>
      <c r="AX46" s="2"/>
      <c r="BG46" t="s">
        <v>212</v>
      </c>
    </row>
    <row r="47" spans="4:75" x14ac:dyDescent="0.25">
      <c r="Z47" s="253" t="str">
        <v>PALMER</v>
      </c>
      <c r="AA47" s="250">
        <v>692.9</v>
      </c>
      <c r="AB47" s="250">
        <v>692.9</v>
      </c>
      <c r="AC47" s="250">
        <f t="shared" si="30"/>
        <v>2399.64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476.42</v>
      </c>
      <c r="AN47" s="2">
        <f>MIN(AN48:AN67)</f>
        <v>18</v>
      </c>
      <c r="AP47" s="2">
        <f>MIN(AP48:AP67)</f>
        <v>182.87999999999994</v>
      </c>
      <c r="AR47" s="2">
        <f>MIN(AR48:AR67)</f>
        <v>15.600000000000023</v>
      </c>
      <c r="AS47" s="2"/>
      <c r="AU47" s="2">
        <f>MIN(AU48:AU67)</f>
        <v>207.51999999999998</v>
      </c>
      <c r="AW47" s="2">
        <f>MIN(AW48:AW67)</f>
        <v>62.440000000000055</v>
      </c>
      <c r="AX47" s="2"/>
    </row>
    <row r="48" spans="4:75" ht="37.5" x14ac:dyDescent="0.25">
      <c r="Z48" s="253" t="str">
        <v>PORTER</v>
      </c>
      <c r="AA48" s="250">
        <v>900.42</v>
      </c>
      <c r="AB48" s="250">
        <v>900.42</v>
      </c>
      <c r="AC48" s="250">
        <f t="shared" si="30"/>
        <v>3300.06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31">Z14</f>
        <v>EWING</v>
      </c>
      <c r="AK48" s="2">
        <f t="shared" si="31"/>
        <v>1071</v>
      </c>
      <c r="AL48">
        <f>IF(AK48&lt;&gt;0,AK48,1000000)</f>
        <v>1071</v>
      </c>
      <c r="AM48" s="2">
        <f t="shared" ref="AM48:AM67" si="32">AL48-AL$47</f>
        <v>594.57999999999993</v>
      </c>
      <c r="AN48">
        <f>IF(AM48&lt;&gt;0,AM48,1000000)</f>
        <v>594.57999999999993</v>
      </c>
      <c r="AO48" s="2">
        <f t="shared" ref="AO48:AO67" si="33">AN48-AN$47</f>
        <v>576.57999999999993</v>
      </c>
      <c r="AP48">
        <f t="shared" ref="AP48:AP67" si="34">IF(AO48&lt;&gt;0,AO48,1000000)</f>
        <v>576.57999999999993</v>
      </c>
      <c r="AQ48" s="2">
        <f t="shared" ref="AQ48:AQ67" si="35">AP48-AP$47</f>
        <v>393.7</v>
      </c>
      <c r="AR48">
        <f t="shared" ref="AR48:AR67" si="36">IF(AQ48&lt;&gt;0,AQ48,1000000)</f>
        <v>393.7</v>
      </c>
      <c r="AT48" s="2">
        <f t="shared" ref="AT48:AT67" si="37">AR48-AR$47</f>
        <v>378.09999999999997</v>
      </c>
      <c r="AU48">
        <f t="shared" ref="AU48:AU67" si="38">IF(AT48&lt;&gt;0,AT48,1000000)</f>
        <v>378.09999999999997</v>
      </c>
      <c r="AV48" s="2">
        <f t="shared" ref="AV48:AV67" si="39">AU48-AU$47</f>
        <v>170.57999999999998</v>
      </c>
      <c r="AW48">
        <f t="shared" ref="AW48:AW67" si="40">IF(AV48&lt;&gt;0,AV48,1000000)</f>
        <v>170.57999999999998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W48" t="s">
        <v>218</v>
      </c>
    </row>
    <row r="49" spans="26:75" x14ac:dyDescent="0.25">
      <c r="Z49" s="253" t="str">
        <v>MITCHELL</v>
      </c>
      <c r="AA49" s="250">
        <v>962.86</v>
      </c>
      <c r="AB49" s="250">
        <v>962.86</v>
      </c>
      <c r="AC49" s="250">
        <f t="shared" si="30"/>
        <v>4262.92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1"/>
        <v>FLYNN</v>
      </c>
      <c r="AK49" s="2">
        <f t="shared" si="31"/>
        <v>494.42</v>
      </c>
      <c r="AL49">
        <f t="shared" ref="AL49:AL67" si="41">IF(AK49&lt;&gt;0,AK49,1000000)</f>
        <v>494.42</v>
      </c>
      <c r="AM49" s="2">
        <f t="shared" si="32"/>
        <v>18</v>
      </c>
      <c r="AN49">
        <f t="shared" ref="AN49:AN67" si="42">IF(AM49&lt;&gt;0,AM49,1000000)</f>
        <v>18</v>
      </c>
      <c r="AO49" s="2">
        <f t="shared" si="33"/>
        <v>0</v>
      </c>
      <c r="AP49">
        <f t="shared" si="34"/>
        <v>1000000</v>
      </c>
      <c r="AQ49" s="2">
        <f t="shared" si="35"/>
        <v>999817.12</v>
      </c>
      <c r="AR49">
        <f t="shared" si="36"/>
        <v>999817.12</v>
      </c>
      <c r="AT49" s="2">
        <f t="shared" si="37"/>
        <v>999801.52</v>
      </c>
      <c r="AU49">
        <f t="shared" si="38"/>
        <v>999801.52</v>
      </c>
      <c r="AV49" s="2">
        <f t="shared" si="39"/>
        <v>999594</v>
      </c>
      <c r="AW49">
        <f t="shared" si="40"/>
        <v>999594</v>
      </c>
      <c r="BE49" s="5" t="str">
        <f>IF($BH5="y",$BE5,IF($BH6="y",$BE6,IF($BH7="y",$BE7,IF($BH8="y",$BE8,IF($BH9="y",$BE9,IF($BH10="y",$BE10,0))))))</f>
        <v>GREHAN</v>
      </c>
      <c r="BG49" s="125" t="str">
        <f t="shared" ref="BG49:BG68" si="43">BE5</f>
        <v>EWING</v>
      </c>
      <c r="BH49" s="126"/>
      <c r="BI49" s="5">
        <f t="shared" ref="BI49:BI68" si="44">IF(BE5=0,0,IF(BE5=BA$8,-BC$12,0))</f>
        <v>0</v>
      </c>
      <c r="BJ49" s="5">
        <f t="shared" ref="BJ49:BJ68" si="45">BN49</f>
        <v>0</v>
      </c>
      <c r="BK49" s="5">
        <f t="shared" ref="BK49:BK68" si="46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EWING</v>
      </c>
      <c r="AA50" s="250">
        <v>1071</v>
      </c>
      <c r="AB50" s="250">
        <v>1071</v>
      </c>
      <c r="AC50" s="250">
        <f t="shared" si="30"/>
        <v>5333.92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1"/>
        <v>FRENCH</v>
      </c>
      <c r="AK50" s="2">
        <f t="shared" si="31"/>
        <v>476.42</v>
      </c>
      <c r="AL50">
        <f t="shared" si="41"/>
        <v>476.42</v>
      </c>
      <c r="AM50" s="2">
        <f t="shared" si="32"/>
        <v>0</v>
      </c>
      <c r="AN50">
        <f t="shared" si="42"/>
        <v>1000000</v>
      </c>
      <c r="AO50" s="2">
        <f t="shared" si="33"/>
        <v>999982</v>
      </c>
      <c r="AP50">
        <f t="shared" si="34"/>
        <v>999982</v>
      </c>
      <c r="AQ50" s="2">
        <f t="shared" si="35"/>
        <v>999799.12</v>
      </c>
      <c r="AR50">
        <f t="shared" si="36"/>
        <v>999799.12</v>
      </c>
      <c r="AT50" s="2">
        <f t="shared" si="37"/>
        <v>999783.52</v>
      </c>
      <c r="AU50">
        <f t="shared" si="38"/>
        <v>999783.52</v>
      </c>
      <c r="AV50" s="2">
        <f t="shared" si="39"/>
        <v>999576</v>
      </c>
      <c r="AW50">
        <f t="shared" si="40"/>
        <v>999576</v>
      </c>
      <c r="BE50" s="5">
        <f>IF($BH11="y",$BE11,IF($BH12="y",$BE12,IF($BH13="y",$BE13,IF($BH14="y",$BE14,IF($BH15="y",$BE15,IF($BH16="y",$BE16,0))))))</f>
        <v>0</v>
      </c>
      <c r="BG50" s="127" t="str">
        <f t="shared" si="43"/>
        <v>FLYNN</v>
      </c>
      <c r="BH50" s="128"/>
      <c r="BI50" s="5">
        <f t="shared" si="44"/>
        <v>0</v>
      </c>
      <c r="BJ50" s="5">
        <f t="shared" si="45"/>
        <v>0</v>
      </c>
      <c r="BK50" s="5">
        <f t="shared" si="46"/>
        <v>0.48</v>
      </c>
      <c r="BN50" s="5">
        <f t="shared" ref="BN50:BN68" si="47">IF(BP9="y",-BO9,0)</f>
        <v>0</v>
      </c>
      <c r="BW50" s="5">
        <f t="shared" ref="BW50:BW68" si="48">IF(BP9="y",BO9,0)</f>
        <v>0</v>
      </c>
    </row>
    <row r="51" spans="26:75" ht="12.75" customHeight="1" x14ac:dyDescent="0.25">
      <c r="Z51" s="253" t="str">
        <v>GIVAN</v>
      </c>
      <c r="AA51" s="250">
        <v>1089.5999999999999</v>
      </c>
      <c r="AB51" s="250">
        <v>1089.5999999999999</v>
      </c>
      <c r="AC51" s="250">
        <f t="shared" si="30"/>
        <v>6423.52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1"/>
        <v>GIVAN</v>
      </c>
      <c r="AK51" s="2">
        <f t="shared" si="31"/>
        <v>1089.5999999999999</v>
      </c>
      <c r="AL51">
        <f t="shared" si="41"/>
        <v>1089.5999999999999</v>
      </c>
      <c r="AM51" s="2">
        <f t="shared" si="32"/>
        <v>613.17999999999984</v>
      </c>
      <c r="AN51">
        <f t="shared" si="42"/>
        <v>613.17999999999984</v>
      </c>
      <c r="AO51" s="2">
        <f t="shared" si="33"/>
        <v>595.17999999999984</v>
      </c>
      <c r="AP51">
        <f t="shared" si="34"/>
        <v>595.17999999999984</v>
      </c>
      <c r="AQ51" s="2">
        <f t="shared" si="35"/>
        <v>412.2999999999999</v>
      </c>
      <c r="AR51">
        <f t="shared" si="36"/>
        <v>412.2999999999999</v>
      </c>
      <c r="AT51" s="2">
        <f t="shared" si="37"/>
        <v>396.69999999999987</v>
      </c>
      <c r="AU51">
        <f t="shared" si="38"/>
        <v>396.69999999999987</v>
      </c>
      <c r="AV51" s="2">
        <f t="shared" si="39"/>
        <v>189.17999999999989</v>
      </c>
      <c r="AW51">
        <f t="shared" si="40"/>
        <v>189.17999999999989</v>
      </c>
      <c r="BE51" s="5">
        <f>IF($BH17="y",$BE17,IF($BH18="y",$BE18,IF($BH19="y",$BE19,IF($BH20="y",$BE20,IF($BH21="y",$BE21,IF($BH22="y",$BE22,0))))))</f>
        <v>0</v>
      </c>
      <c r="BG51" s="127" t="str">
        <f t="shared" si="43"/>
        <v>FRENCH</v>
      </c>
      <c r="BH51" s="128"/>
      <c r="BI51" s="5">
        <f t="shared" si="44"/>
        <v>0</v>
      </c>
      <c r="BJ51" s="5">
        <f t="shared" si="45"/>
        <v>0</v>
      </c>
      <c r="BK51" s="5">
        <f t="shared" si="46"/>
        <v>0.89999999999999991</v>
      </c>
      <c r="BN51" s="5">
        <f t="shared" si="47"/>
        <v>0</v>
      </c>
      <c r="BW51" s="5">
        <f t="shared" si="48"/>
        <v>0</v>
      </c>
    </row>
    <row r="52" spans="26:75" x14ac:dyDescent="0.25">
      <c r="Z52" s="253" t="str">
        <v>GREHAN</v>
      </c>
      <c r="AA52" s="250">
        <v>1111</v>
      </c>
      <c r="AB52" s="250">
        <v>1111</v>
      </c>
      <c r="AC52" s="250">
        <f t="shared" si="30"/>
        <v>7534.52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1"/>
        <v>GREHAN</v>
      </c>
      <c r="AK52" s="2">
        <f t="shared" si="31"/>
        <v>1111</v>
      </c>
      <c r="AL52">
        <f t="shared" si="41"/>
        <v>1111</v>
      </c>
      <c r="AM52" s="2">
        <f t="shared" si="32"/>
        <v>634.57999999999993</v>
      </c>
      <c r="AN52">
        <f t="shared" si="42"/>
        <v>634.57999999999993</v>
      </c>
      <c r="AO52" s="2">
        <f t="shared" si="33"/>
        <v>616.57999999999993</v>
      </c>
      <c r="AP52">
        <f t="shared" si="34"/>
        <v>616.57999999999993</v>
      </c>
      <c r="AQ52" s="2">
        <f t="shared" si="35"/>
        <v>433.7</v>
      </c>
      <c r="AR52">
        <f t="shared" si="36"/>
        <v>433.7</v>
      </c>
      <c r="AT52" s="2">
        <f t="shared" si="37"/>
        <v>418.09999999999997</v>
      </c>
      <c r="AU52">
        <f t="shared" si="38"/>
        <v>418.09999999999997</v>
      </c>
      <c r="AV52" s="2">
        <f t="shared" si="39"/>
        <v>210.57999999999998</v>
      </c>
      <c r="AW52">
        <f t="shared" si="40"/>
        <v>210.57999999999998</v>
      </c>
      <c r="BE52" s="5">
        <f>IF($BH23="y",$BE23,IF($BH24="y",$BE24,0))</f>
        <v>0</v>
      </c>
      <c r="BG52" s="127" t="str">
        <f t="shared" si="43"/>
        <v>GIVAN</v>
      </c>
      <c r="BH52" s="128"/>
      <c r="BI52" s="5">
        <f t="shared" si="44"/>
        <v>0</v>
      </c>
      <c r="BJ52" s="5">
        <f t="shared" si="45"/>
        <v>0</v>
      </c>
      <c r="BK52" s="5">
        <f t="shared" si="46"/>
        <v>0</v>
      </c>
      <c r="BN52" s="5">
        <f t="shared" si="47"/>
        <v>0</v>
      </c>
      <c r="BW52" s="5">
        <f t="shared" si="48"/>
        <v>0</v>
      </c>
    </row>
    <row r="53" spans="26:75" x14ac:dyDescent="0.25">
      <c r="Z53" s="253" t="str">
        <v>MCEVOY</v>
      </c>
      <c r="AA53" s="250">
        <v>0</v>
      </c>
      <c r="AB53" s="250">
        <v>1000000</v>
      </c>
      <c r="AC53" s="250">
        <f t="shared" si="30"/>
        <v>7534.52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1"/>
        <v>KENNEDY</v>
      </c>
      <c r="AK53" s="2">
        <f t="shared" si="31"/>
        <v>677.3</v>
      </c>
      <c r="AL53">
        <f t="shared" si="41"/>
        <v>677.3</v>
      </c>
      <c r="AM53" s="2">
        <f t="shared" si="32"/>
        <v>200.87999999999994</v>
      </c>
      <c r="AN53">
        <f t="shared" si="42"/>
        <v>200.87999999999994</v>
      </c>
      <c r="AO53" s="2">
        <f t="shared" si="33"/>
        <v>182.87999999999994</v>
      </c>
      <c r="AP53">
        <f t="shared" si="34"/>
        <v>182.87999999999994</v>
      </c>
      <c r="AQ53" s="2">
        <f t="shared" si="35"/>
        <v>0</v>
      </c>
      <c r="AR53">
        <f t="shared" si="36"/>
        <v>1000000</v>
      </c>
      <c r="AT53" s="2">
        <f t="shared" si="37"/>
        <v>999984.4</v>
      </c>
      <c r="AU53">
        <f t="shared" si="38"/>
        <v>999984.4</v>
      </c>
      <c r="AV53" s="2">
        <f t="shared" si="39"/>
        <v>999776.88</v>
      </c>
      <c r="AW53">
        <f t="shared" si="40"/>
        <v>999776.88</v>
      </c>
      <c r="BG53" s="127" t="str">
        <f t="shared" si="43"/>
        <v>GREHAN</v>
      </c>
      <c r="BH53" s="128"/>
      <c r="BI53" s="5">
        <f t="shared" si="44"/>
        <v>-40</v>
      </c>
      <c r="BJ53" s="5">
        <f t="shared" si="45"/>
        <v>0</v>
      </c>
      <c r="BK53" s="5">
        <f t="shared" si="46"/>
        <v>-40</v>
      </c>
      <c r="BN53" s="5">
        <f t="shared" si="47"/>
        <v>0</v>
      </c>
      <c r="BW53" s="5">
        <f t="shared" si="48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30"/>
        <v>7534.52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1"/>
        <v>MCEVOY</v>
      </c>
      <c r="AK54" s="2">
        <f t="shared" si="31"/>
        <v>0</v>
      </c>
      <c r="AL54">
        <f t="shared" si="41"/>
        <v>1000000</v>
      </c>
      <c r="AM54" s="2">
        <f t="shared" si="32"/>
        <v>999523.58</v>
      </c>
      <c r="AN54">
        <f t="shared" si="42"/>
        <v>999523.58</v>
      </c>
      <c r="AO54" s="2">
        <f t="shared" si="33"/>
        <v>999505.58</v>
      </c>
      <c r="AP54">
        <f t="shared" si="34"/>
        <v>999505.58</v>
      </c>
      <c r="AQ54" s="2">
        <f t="shared" si="35"/>
        <v>999322.7</v>
      </c>
      <c r="AR54">
        <f t="shared" si="36"/>
        <v>999322.7</v>
      </c>
      <c r="AT54" s="2">
        <f t="shared" si="37"/>
        <v>999307.1</v>
      </c>
      <c r="AU54">
        <f t="shared" si="38"/>
        <v>999307.1</v>
      </c>
      <c r="AV54" s="2">
        <f t="shared" si="39"/>
        <v>999099.58</v>
      </c>
      <c r="AW54">
        <f t="shared" si="40"/>
        <v>999099.58</v>
      </c>
      <c r="BG54" s="127" t="str">
        <f t="shared" si="43"/>
        <v>KENNEDY</v>
      </c>
      <c r="BH54" s="128"/>
      <c r="BI54" s="5">
        <f t="shared" si="44"/>
        <v>0</v>
      </c>
      <c r="BJ54" s="5">
        <f t="shared" si="45"/>
        <v>0</v>
      </c>
      <c r="BK54" s="5">
        <f t="shared" si="46"/>
        <v>30.029999999999998</v>
      </c>
      <c r="BN54" s="5">
        <f t="shared" si="47"/>
        <v>0</v>
      </c>
      <c r="BW54" s="5">
        <f t="shared" si="48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30"/>
        <v>7534.52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1"/>
        <v>MITCHELL</v>
      </c>
      <c r="AK55" s="2">
        <f t="shared" si="31"/>
        <v>962.86</v>
      </c>
      <c r="AL55">
        <f t="shared" si="41"/>
        <v>962.86</v>
      </c>
      <c r="AM55" s="2">
        <f t="shared" si="32"/>
        <v>486.44</v>
      </c>
      <c r="AN55">
        <f t="shared" si="42"/>
        <v>486.44</v>
      </c>
      <c r="AO55" s="2">
        <f t="shared" si="33"/>
        <v>468.44</v>
      </c>
      <c r="AP55">
        <f t="shared" si="34"/>
        <v>468.44</v>
      </c>
      <c r="AQ55" s="2">
        <f t="shared" si="35"/>
        <v>285.56000000000006</v>
      </c>
      <c r="AR55">
        <f t="shared" si="36"/>
        <v>285.56000000000006</v>
      </c>
      <c r="AT55" s="2">
        <f t="shared" si="37"/>
        <v>269.96000000000004</v>
      </c>
      <c r="AU55">
        <f t="shared" si="38"/>
        <v>269.96000000000004</v>
      </c>
      <c r="AV55" s="2">
        <f t="shared" si="39"/>
        <v>62.440000000000055</v>
      </c>
      <c r="AW55">
        <f t="shared" si="40"/>
        <v>62.440000000000055</v>
      </c>
      <c r="BG55" s="127" t="str">
        <f t="shared" si="43"/>
        <v>MCEVOY</v>
      </c>
      <c r="BH55" s="128"/>
      <c r="BI55" s="5">
        <f t="shared" si="44"/>
        <v>0</v>
      </c>
      <c r="BJ55" s="5">
        <f t="shared" si="45"/>
        <v>0</v>
      </c>
      <c r="BK55" s="5">
        <f t="shared" si="46"/>
        <v>0</v>
      </c>
      <c r="BN55" s="5">
        <f t="shared" si="47"/>
        <v>0</v>
      </c>
      <c r="BW55" s="5">
        <f t="shared" si="48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30"/>
        <v>7534.52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31"/>
        <v>PALMER</v>
      </c>
      <c r="AK56" s="2">
        <f t="shared" si="31"/>
        <v>692.9</v>
      </c>
      <c r="AL56">
        <f t="shared" si="41"/>
        <v>692.9</v>
      </c>
      <c r="AM56" s="2">
        <f t="shared" si="32"/>
        <v>216.47999999999996</v>
      </c>
      <c r="AN56">
        <f t="shared" si="42"/>
        <v>216.47999999999996</v>
      </c>
      <c r="AO56" s="2">
        <f t="shared" si="33"/>
        <v>198.47999999999996</v>
      </c>
      <c r="AP56">
        <f t="shared" si="34"/>
        <v>198.47999999999996</v>
      </c>
      <c r="AQ56" s="2">
        <f t="shared" si="35"/>
        <v>15.600000000000023</v>
      </c>
      <c r="AR56">
        <f t="shared" si="36"/>
        <v>15.600000000000023</v>
      </c>
      <c r="AT56" s="2">
        <f t="shared" si="37"/>
        <v>0</v>
      </c>
      <c r="AU56">
        <f t="shared" si="38"/>
        <v>1000000</v>
      </c>
      <c r="AV56" s="2">
        <f t="shared" si="39"/>
        <v>999792.48</v>
      </c>
      <c r="AW56">
        <f t="shared" si="40"/>
        <v>999792.48</v>
      </c>
      <c r="BG56" s="127" t="str">
        <f t="shared" si="43"/>
        <v>MITCHELL</v>
      </c>
      <c r="BH56" s="128"/>
      <c r="BI56" s="5">
        <f t="shared" si="44"/>
        <v>0</v>
      </c>
      <c r="BJ56" s="5">
        <f t="shared" si="45"/>
        <v>0</v>
      </c>
      <c r="BK56" s="5">
        <f t="shared" si="46"/>
        <v>0.72</v>
      </c>
      <c r="BN56" s="5">
        <f t="shared" si="47"/>
        <v>0</v>
      </c>
      <c r="BW56" s="5">
        <f t="shared" si="48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30"/>
        <v>7534.52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31"/>
        <v>PORTER</v>
      </c>
      <c r="AK57" s="2">
        <f t="shared" si="31"/>
        <v>900.42</v>
      </c>
      <c r="AL57">
        <f t="shared" si="41"/>
        <v>900.42</v>
      </c>
      <c r="AM57" s="2">
        <f t="shared" si="32"/>
        <v>423.99999999999994</v>
      </c>
      <c r="AN57">
        <f t="shared" si="42"/>
        <v>423.99999999999994</v>
      </c>
      <c r="AO57" s="2">
        <f t="shared" si="33"/>
        <v>405.99999999999994</v>
      </c>
      <c r="AP57">
        <f t="shared" si="34"/>
        <v>405.99999999999994</v>
      </c>
      <c r="AQ57" s="2">
        <f t="shared" si="35"/>
        <v>223.12</v>
      </c>
      <c r="AR57">
        <f t="shared" si="36"/>
        <v>223.12</v>
      </c>
      <c r="AT57" s="2">
        <f t="shared" si="37"/>
        <v>207.51999999999998</v>
      </c>
      <c r="AU57">
        <f t="shared" si="38"/>
        <v>207.51999999999998</v>
      </c>
      <c r="AV57" s="2">
        <f t="shared" si="39"/>
        <v>0</v>
      </c>
      <c r="AW57">
        <f t="shared" si="40"/>
        <v>1000000</v>
      </c>
      <c r="BG57" s="127" t="str">
        <f t="shared" si="43"/>
        <v>PALMER</v>
      </c>
      <c r="BH57" s="128"/>
      <c r="BI57" s="5">
        <f t="shared" si="44"/>
        <v>0</v>
      </c>
      <c r="BJ57" s="5">
        <f t="shared" si="45"/>
        <v>0</v>
      </c>
      <c r="BK57" s="5">
        <f t="shared" si="46"/>
        <v>0.69</v>
      </c>
      <c r="BN57" s="5">
        <f t="shared" si="47"/>
        <v>0</v>
      </c>
      <c r="BW57" s="5">
        <f t="shared" si="48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30"/>
        <v>7534.52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31"/>
        <v>0</v>
      </c>
      <c r="AK58" s="2">
        <f t="shared" si="31"/>
        <v>0</v>
      </c>
      <c r="AL58">
        <f t="shared" si="41"/>
        <v>1000000</v>
      </c>
      <c r="AM58" s="2">
        <f t="shared" si="32"/>
        <v>999523.58</v>
      </c>
      <c r="AN58">
        <f t="shared" si="42"/>
        <v>999523.58</v>
      </c>
      <c r="AO58" s="2">
        <f t="shared" si="33"/>
        <v>999505.58</v>
      </c>
      <c r="AP58">
        <f t="shared" si="34"/>
        <v>999505.58</v>
      </c>
      <c r="AQ58" s="2">
        <f t="shared" si="35"/>
        <v>999322.7</v>
      </c>
      <c r="AR58">
        <f t="shared" si="36"/>
        <v>999322.7</v>
      </c>
      <c r="AT58" s="2">
        <f t="shared" si="37"/>
        <v>999307.1</v>
      </c>
      <c r="AU58">
        <f t="shared" si="38"/>
        <v>999307.1</v>
      </c>
      <c r="AV58" s="2">
        <f t="shared" si="39"/>
        <v>999099.58</v>
      </c>
      <c r="AW58">
        <f t="shared" si="40"/>
        <v>999099.58</v>
      </c>
      <c r="BG58" s="127" t="str">
        <f t="shared" si="43"/>
        <v>PORTER</v>
      </c>
      <c r="BH58" s="128"/>
      <c r="BI58" s="5">
        <f t="shared" si="44"/>
        <v>0</v>
      </c>
      <c r="BJ58" s="5">
        <f t="shared" si="45"/>
        <v>0</v>
      </c>
      <c r="BK58" s="5">
        <f t="shared" si="46"/>
        <v>0.39</v>
      </c>
      <c r="BN58" s="5">
        <f t="shared" si="47"/>
        <v>0</v>
      </c>
      <c r="BW58" s="5">
        <f t="shared" si="48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30"/>
        <v>7534.52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31"/>
        <v>0</v>
      </c>
      <c r="AK59" s="2">
        <f t="shared" si="31"/>
        <v>0</v>
      </c>
      <c r="AL59">
        <f t="shared" si="41"/>
        <v>1000000</v>
      </c>
      <c r="AM59" s="2">
        <f t="shared" si="32"/>
        <v>999523.58</v>
      </c>
      <c r="AN59">
        <f t="shared" si="42"/>
        <v>999523.58</v>
      </c>
      <c r="AO59" s="2">
        <f t="shared" si="33"/>
        <v>999505.58</v>
      </c>
      <c r="AP59">
        <f t="shared" si="34"/>
        <v>999505.58</v>
      </c>
      <c r="AQ59" s="2">
        <f t="shared" si="35"/>
        <v>999322.7</v>
      </c>
      <c r="AR59">
        <f t="shared" si="36"/>
        <v>999322.7</v>
      </c>
      <c r="AT59" s="2">
        <f t="shared" si="37"/>
        <v>999307.1</v>
      </c>
      <c r="AU59">
        <f t="shared" si="38"/>
        <v>999307.1</v>
      </c>
      <c r="AV59" s="2">
        <f t="shared" si="39"/>
        <v>999099.58</v>
      </c>
      <c r="AW59">
        <f t="shared" si="40"/>
        <v>999099.58</v>
      </c>
      <c r="BG59" s="127">
        <f t="shared" si="43"/>
        <v>0</v>
      </c>
      <c r="BH59" s="128"/>
      <c r="BI59" s="5">
        <f t="shared" si="44"/>
        <v>0</v>
      </c>
      <c r="BJ59" s="5">
        <f t="shared" si="45"/>
        <v>0</v>
      </c>
      <c r="BK59" s="5">
        <f t="shared" si="46"/>
        <v>0</v>
      </c>
      <c r="BN59" s="5">
        <f t="shared" si="47"/>
        <v>0</v>
      </c>
      <c r="BW59" s="5">
        <f t="shared" si="48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30"/>
        <v>7534.52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1"/>
        <v>0</v>
      </c>
      <c r="AK60" s="2">
        <f t="shared" si="31"/>
        <v>0</v>
      </c>
      <c r="AL60">
        <f t="shared" si="41"/>
        <v>1000000</v>
      </c>
      <c r="AM60" s="2">
        <f t="shared" si="32"/>
        <v>999523.58</v>
      </c>
      <c r="AN60">
        <f t="shared" si="42"/>
        <v>999523.58</v>
      </c>
      <c r="AO60" s="2">
        <f t="shared" si="33"/>
        <v>999505.58</v>
      </c>
      <c r="AP60">
        <f t="shared" si="34"/>
        <v>999505.58</v>
      </c>
      <c r="AQ60" s="2">
        <f t="shared" si="35"/>
        <v>999322.7</v>
      </c>
      <c r="AR60">
        <f t="shared" si="36"/>
        <v>999322.7</v>
      </c>
      <c r="AT60" s="2">
        <f t="shared" si="37"/>
        <v>999307.1</v>
      </c>
      <c r="AU60">
        <f t="shared" si="38"/>
        <v>999307.1</v>
      </c>
      <c r="AV60" s="2">
        <f t="shared" si="39"/>
        <v>999099.58</v>
      </c>
      <c r="AW60">
        <f t="shared" si="40"/>
        <v>999099.58</v>
      </c>
      <c r="BG60" s="127">
        <f t="shared" si="43"/>
        <v>0</v>
      </c>
      <c r="BH60" s="128"/>
      <c r="BI60" s="5">
        <f t="shared" si="44"/>
        <v>0</v>
      </c>
      <c r="BJ60" s="5">
        <f t="shared" si="45"/>
        <v>0</v>
      </c>
      <c r="BK60" s="5">
        <f t="shared" si="46"/>
        <v>0</v>
      </c>
      <c r="BN60" s="5">
        <f t="shared" si="47"/>
        <v>0</v>
      </c>
      <c r="BW60" s="5">
        <f t="shared" si="48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30"/>
        <v>7534.52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31"/>
        <v>0</v>
      </c>
      <c r="AK61" s="2">
        <f t="shared" si="31"/>
        <v>0</v>
      </c>
      <c r="AL61">
        <f t="shared" si="41"/>
        <v>1000000</v>
      </c>
      <c r="AM61" s="2">
        <f t="shared" si="32"/>
        <v>999523.58</v>
      </c>
      <c r="AN61">
        <f t="shared" si="42"/>
        <v>999523.58</v>
      </c>
      <c r="AO61" s="2">
        <f t="shared" si="33"/>
        <v>999505.58</v>
      </c>
      <c r="AP61">
        <f t="shared" si="34"/>
        <v>999505.58</v>
      </c>
      <c r="AQ61" s="2">
        <f t="shared" si="35"/>
        <v>999322.7</v>
      </c>
      <c r="AR61">
        <f t="shared" si="36"/>
        <v>999322.7</v>
      </c>
      <c r="AT61" s="2">
        <f t="shared" si="37"/>
        <v>999307.1</v>
      </c>
      <c r="AU61">
        <f t="shared" si="38"/>
        <v>999307.1</v>
      </c>
      <c r="AV61" s="2">
        <f t="shared" si="39"/>
        <v>999099.58</v>
      </c>
      <c r="AW61">
        <f t="shared" si="40"/>
        <v>999099.58</v>
      </c>
      <c r="BG61" s="127">
        <f t="shared" si="43"/>
        <v>0</v>
      </c>
      <c r="BH61" s="128"/>
      <c r="BI61" s="5">
        <f t="shared" si="44"/>
        <v>0</v>
      </c>
      <c r="BJ61" s="5">
        <f t="shared" si="45"/>
        <v>0</v>
      </c>
      <c r="BK61" s="5">
        <f t="shared" si="46"/>
        <v>0</v>
      </c>
      <c r="BN61" s="5">
        <f t="shared" si="47"/>
        <v>0</v>
      </c>
      <c r="BW61" s="5">
        <f t="shared" si="48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30"/>
        <v>7534.52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31"/>
        <v>0</v>
      </c>
      <c r="AK62" s="2">
        <f t="shared" si="31"/>
        <v>0</v>
      </c>
      <c r="AL62">
        <f t="shared" si="41"/>
        <v>1000000</v>
      </c>
      <c r="AM62" s="2">
        <f t="shared" si="32"/>
        <v>999523.58</v>
      </c>
      <c r="AN62">
        <f t="shared" si="42"/>
        <v>999523.58</v>
      </c>
      <c r="AO62" s="2">
        <f t="shared" si="33"/>
        <v>999505.58</v>
      </c>
      <c r="AP62">
        <f t="shared" si="34"/>
        <v>999505.58</v>
      </c>
      <c r="AQ62" s="2">
        <f t="shared" si="35"/>
        <v>999322.7</v>
      </c>
      <c r="AR62">
        <f t="shared" si="36"/>
        <v>999322.7</v>
      </c>
      <c r="AT62" s="2">
        <f t="shared" si="37"/>
        <v>999307.1</v>
      </c>
      <c r="AU62">
        <f t="shared" si="38"/>
        <v>999307.1</v>
      </c>
      <c r="AV62" s="2">
        <f t="shared" si="39"/>
        <v>999099.58</v>
      </c>
      <c r="AW62">
        <f t="shared" si="40"/>
        <v>999099.58</v>
      </c>
      <c r="BG62" s="127">
        <f t="shared" si="43"/>
        <v>0</v>
      </c>
      <c r="BH62" s="128"/>
      <c r="BI62" s="5">
        <f t="shared" si="44"/>
        <v>0</v>
      </c>
      <c r="BJ62" s="5">
        <f t="shared" si="45"/>
        <v>0</v>
      </c>
      <c r="BK62" s="5">
        <f t="shared" si="46"/>
        <v>0</v>
      </c>
      <c r="BN62" s="5">
        <f t="shared" si="47"/>
        <v>0</v>
      </c>
      <c r="BW62" s="5">
        <f t="shared" si="48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30"/>
        <v>7534.52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31"/>
        <v>0</v>
      </c>
      <c r="AK63" s="2">
        <f t="shared" si="31"/>
        <v>0</v>
      </c>
      <c r="AL63">
        <f t="shared" si="41"/>
        <v>1000000</v>
      </c>
      <c r="AM63" s="2">
        <f t="shared" si="32"/>
        <v>999523.58</v>
      </c>
      <c r="AN63">
        <f t="shared" si="42"/>
        <v>999523.58</v>
      </c>
      <c r="AO63" s="2">
        <f t="shared" si="33"/>
        <v>999505.58</v>
      </c>
      <c r="AP63">
        <f t="shared" si="34"/>
        <v>999505.58</v>
      </c>
      <c r="AQ63" s="2">
        <f t="shared" si="35"/>
        <v>999322.7</v>
      </c>
      <c r="AR63">
        <f t="shared" si="36"/>
        <v>999322.7</v>
      </c>
      <c r="AT63" s="2">
        <f t="shared" si="37"/>
        <v>999307.1</v>
      </c>
      <c r="AU63">
        <f t="shared" si="38"/>
        <v>999307.1</v>
      </c>
      <c r="AV63" s="2">
        <f t="shared" si="39"/>
        <v>999099.58</v>
      </c>
      <c r="AW63">
        <f t="shared" si="40"/>
        <v>999099.58</v>
      </c>
      <c r="BG63" s="127">
        <f t="shared" si="43"/>
        <v>0</v>
      </c>
      <c r="BH63" s="128"/>
      <c r="BI63" s="5">
        <f t="shared" si="44"/>
        <v>0</v>
      </c>
      <c r="BJ63" s="5">
        <f t="shared" si="45"/>
        <v>0</v>
      </c>
      <c r="BK63" s="5">
        <f t="shared" si="46"/>
        <v>0</v>
      </c>
      <c r="BN63" s="5">
        <f t="shared" si="47"/>
        <v>0</v>
      </c>
      <c r="BW63" s="5">
        <f t="shared" si="48"/>
        <v>0</v>
      </c>
    </row>
    <row r="64" spans="26:75" ht="15" customHeight="1" x14ac:dyDescent="0.25">
      <c r="AJ64">
        <f t="shared" ref="AJ64:AK67" si="49">Z30</f>
        <v>0</v>
      </c>
      <c r="AK64" s="2">
        <f t="shared" si="49"/>
        <v>0</v>
      </c>
      <c r="AL64">
        <f t="shared" si="41"/>
        <v>1000000</v>
      </c>
      <c r="AM64" s="2">
        <f t="shared" si="32"/>
        <v>999523.58</v>
      </c>
      <c r="AN64">
        <f t="shared" si="42"/>
        <v>999523.58</v>
      </c>
      <c r="AO64" s="2">
        <f t="shared" si="33"/>
        <v>999505.58</v>
      </c>
      <c r="AP64">
        <f t="shared" si="34"/>
        <v>999505.58</v>
      </c>
      <c r="AQ64" s="2">
        <f t="shared" si="35"/>
        <v>999322.7</v>
      </c>
      <c r="AR64">
        <f t="shared" si="36"/>
        <v>999322.7</v>
      </c>
      <c r="AT64" s="2">
        <f t="shared" si="37"/>
        <v>999307.1</v>
      </c>
      <c r="AU64">
        <f t="shared" si="38"/>
        <v>999307.1</v>
      </c>
      <c r="AV64" s="2">
        <f t="shared" si="39"/>
        <v>999099.58</v>
      </c>
      <c r="AW64">
        <f t="shared" si="40"/>
        <v>999099.58</v>
      </c>
      <c r="BG64" s="127">
        <f t="shared" si="43"/>
        <v>0</v>
      </c>
      <c r="BH64" s="128"/>
      <c r="BI64" s="5">
        <f t="shared" si="44"/>
        <v>0</v>
      </c>
      <c r="BJ64" s="5">
        <f t="shared" si="45"/>
        <v>0</v>
      </c>
      <c r="BK64" s="5">
        <f t="shared" si="46"/>
        <v>0</v>
      </c>
      <c r="BN64" s="5">
        <f t="shared" si="47"/>
        <v>0</v>
      </c>
      <c r="BW64" s="5">
        <f t="shared" si="48"/>
        <v>0</v>
      </c>
    </row>
    <row r="65" spans="36:75" x14ac:dyDescent="0.25">
      <c r="AJ65">
        <f t="shared" si="49"/>
        <v>0</v>
      </c>
      <c r="AK65" s="2">
        <f t="shared" si="49"/>
        <v>0</v>
      </c>
      <c r="AL65">
        <f t="shared" si="41"/>
        <v>1000000</v>
      </c>
      <c r="AM65" s="2">
        <f t="shared" si="32"/>
        <v>999523.58</v>
      </c>
      <c r="AN65">
        <f t="shared" si="42"/>
        <v>999523.58</v>
      </c>
      <c r="AO65" s="2">
        <f t="shared" si="33"/>
        <v>999505.58</v>
      </c>
      <c r="AP65">
        <f t="shared" si="34"/>
        <v>999505.58</v>
      </c>
      <c r="AQ65" s="2">
        <f t="shared" si="35"/>
        <v>999322.7</v>
      </c>
      <c r="AR65">
        <f t="shared" si="36"/>
        <v>999322.7</v>
      </c>
      <c r="AT65" s="2">
        <f t="shared" si="37"/>
        <v>999307.1</v>
      </c>
      <c r="AU65">
        <f t="shared" si="38"/>
        <v>999307.1</v>
      </c>
      <c r="AV65" s="2">
        <f t="shared" si="39"/>
        <v>999099.58</v>
      </c>
      <c r="AW65">
        <f t="shared" si="40"/>
        <v>999099.58</v>
      </c>
      <c r="BG65" s="127">
        <f t="shared" si="43"/>
        <v>0</v>
      </c>
      <c r="BH65" s="128"/>
      <c r="BI65" s="5">
        <f t="shared" si="44"/>
        <v>0</v>
      </c>
      <c r="BJ65" s="5">
        <f t="shared" si="45"/>
        <v>0</v>
      </c>
      <c r="BK65" s="5">
        <f t="shared" si="46"/>
        <v>0</v>
      </c>
      <c r="BN65" s="5">
        <f t="shared" si="47"/>
        <v>0</v>
      </c>
      <c r="BW65" s="5">
        <f t="shared" si="48"/>
        <v>0</v>
      </c>
    </row>
    <row r="66" spans="36:75" ht="14.25" customHeight="1" x14ac:dyDescent="0.25">
      <c r="AJ66">
        <f t="shared" si="49"/>
        <v>0</v>
      </c>
      <c r="AK66" s="2">
        <f t="shared" si="49"/>
        <v>0</v>
      </c>
      <c r="AL66">
        <f t="shared" si="41"/>
        <v>1000000</v>
      </c>
      <c r="AM66" s="2">
        <f t="shared" si="32"/>
        <v>999523.58</v>
      </c>
      <c r="AN66">
        <f t="shared" si="42"/>
        <v>999523.58</v>
      </c>
      <c r="AO66" s="2">
        <f t="shared" si="33"/>
        <v>999505.58</v>
      </c>
      <c r="AP66">
        <f t="shared" si="34"/>
        <v>999505.58</v>
      </c>
      <c r="AQ66" s="2">
        <f t="shared" si="35"/>
        <v>999322.7</v>
      </c>
      <c r="AR66">
        <f t="shared" si="36"/>
        <v>999322.7</v>
      </c>
      <c r="AT66" s="2">
        <f t="shared" si="37"/>
        <v>999307.1</v>
      </c>
      <c r="AU66">
        <f t="shared" si="38"/>
        <v>999307.1</v>
      </c>
      <c r="AV66" s="2">
        <f t="shared" si="39"/>
        <v>999099.58</v>
      </c>
      <c r="AW66">
        <f t="shared" si="40"/>
        <v>999099.58</v>
      </c>
      <c r="BG66" s="127">
        <f t="shared" si="43"/>
        <v>0</v>
      </c>
      <c r="BH66" s="128"/>
      <c r="BI66" s="5">
        <f t="shared" si="44"/>
        <v>0</v>
      </c>
      <c r="BJ66" s="5">
        <f t="shared" si="45"/>
        <v>0</v>
      </c>
      <c r="BK66" s="5">
        <f t="shared" si="46"/>
        <v>0</v>
      </c>
      <c r="BN66" s="5">
        <f t="shared" si="47"/>
        <v>0</v>
      </c>
      <c r="BW66" s="5">
        <f t="shared" si="48"/>
        <v>0</v>
      </c>
    </row>
    <row r="67" spans="36:75" x14ac:dyDescent="0.25">
      <c r="AJ67">
        <f t="shared" si="49"/>
        <v>0</v>
      </c>
      <c r="AK67" s="2">
        <f t="shared" si="49"/>
        <v>0</v>
      </c>
      <c r="AL67">
        <f t="shared" si="41"/>
        <v>1000000</v>
      </c>
      <c r="AM67" s="2">
        <f t="shared" si="32"/>
        <v>999523.58</v>
      </c>
      <c r="AN67">
        <f t="shared" si="42"/>
        <v>999523.58</v>
      </c>
      <c r="AO67" s="2">
        <f t="shared" si="33"/>
        <v>999505.58</v>
      </c>
      <c r="AP67">
        <f t="shared" si="34"/>
        <v>999505.58</v>
      </c>
      <c r="AQ67" s="2">
        <f t="shared" si="35"/>
        <v>999322.7</v>
      </c>
      <c r="AR67">
        <f t="shared" si="36"/>
        <v>999322.7</v>
      </c>
      <c r="AT67" s="2">
        <f t="shared" si="37"/>
        <v>999307.1</v>
      </c>
      <c r="AU67">
        <f t="shared" si="38"/>
        <v>999307.1</v>
      </c>
      <c r="AV67" s="2">
        <f t="shared" si="39"/>
        <v>999099.58</v>
      </c>
      <c r="AW67">
        <f t="shared" si="40"/>
        <v>999099.58</v>
      </c>
      <c r="BG67" s="127">
        <f t="shared" si="43"/>
        <v>0</v>
      </c>
      <c r="BH67" s="128"/>
      <c r="BI67" s="5">
        <f t="shared" si="44"/>
        <v>0</v>
      </c>
      <c r="BJ67" s="5">
        <f t="shared" si="45"/>
        <v>0</v>
      </c>
      <c r="BK67" s="5">
        <f t="shared" si="46"/>
        <v>0</v>
      </c>
      <c r="BN67" s="5">
        <f t="shared" si="47"/>
        <v>0</v>
      </c>
      <c r="BW67" s="5">
        <f t="shared" si="48"/>
        <v>0</v>
      </c>
    </row>
    <row r="68" spans="36:75" x14ac:dyDescent="0.25">
      <c r="BG68" s="129">
        <f t="shared" si="43"/>
        <v>0</v>
      </c>
      <c r="BH68" s="130"/>
      <c r="BI68" s="5">
        <f t="shared" si="44"/>
        <v>0</v>
      </c>
      <c r="BJ68" s="5">
        <f t="shared" si="45"/>
        <v>0</v>
      </c>
      <c r="BK68" s="5">
        <f t="shared" si="46"/>
        <v>0</v>
      </c>
      <c r="BN68" s="5">
        <f t="shared" si="47"/>
        <v>0</v>
      </c>
      <c r="BW68" s="5">
        <f t="shared" si="48"/>
        <v>0</v>
      </c>
    </row>
    <row r="69" spans="36:75" ht="12.75" customHeight="1" x14ac:dyDescent="0.25">
      <c r="BG69" t="s">
        <v>219</v>
      </c>
      <c r="BI69" s="5">
        <f>BG26</f>
        <v>6.7899999999999991</v>
      </c>
      <c r="BJ69" s="5">
        <f>CE28</f>
        <v>0</v>
      </c>
      <c r="BK69" s="5">
        <f>BI69+BJ69</f>
        <v>6.7899999999999991</v>
      </c>
      <c r="BW69" s="5">
        <f>SUM(BW49:BW68)</f>
        <v>0</v>
      </c>
    </row>
    <row r="70" spans="36:75" x14ac:dyDescent="0.25">
      <c r="BK70" s="5">
        <f>BG27+CE29</f>
        <v>39.999999999999993</v>
      </c>
    </row>
    <row r="82" spans="41:46" x14ac:dyDescent="0.25">
      <c r="AO82" s="5">
        <f>IF(AO20&lt;&gt;0,1,0)</f>
        <v>0</v>
      </c>
      <c r="AP82" s="5"/>
      <c r="AQ82" s="5">
        <f t="shared" ref="AQ82:AR88" si="50">IF(AQ20&lt;&gt;0,1,0)</f>
        <v>0</v>
      </c>
      <c r="AR82" s="19">
        <f t="shared" si="50"/>
        <v>0</v>
      </c>
      <c r="AS82" s="19"/>
      <c r="AT82" s="5">
        <f>SUM(AO82:AR82)</f>
        <v>0</v>
      </c>
    </row>
    <row r="83" spans="41:46" x14ac:dyDescent="0.25">
      <c r="AO83" s="5">
        <f t="shared" ref="AO83:AO88" si="51">IF(AO21&lt;&gt;0,1,0)</f>
        <v>0</v>
      </c>
      <c r="AP83" s="5"/>
      <c r="AQ83" s="5">
        <f t="shared" si="50"/>
        <v>0</v>
      </c>
      <c r="AR83" s="19">
        <f t="shared" si="50"/>
        <v>0</v>
      </c>
      <c r="AS83" s="19"/>
      <c r="AT83" s="5">
        <f t="shared" ref="AT83:AT88" si="52">SUM(AO83:AR83)</f>
        <v>0</v>
      </c>
    </row>
    <row r="84" spans="41:46" x14ac:dyDescent="0.25">
      <c r="AO84" s="5">
        <f t="shared" si="51"/>
        <v>0</v>
      </c>
      <c r="AP84" s="5"/>
      <c r="AQ84" s="5">
        <f t="shared" si="50"/>
        <v>0</v>
      </c>
      <c r="AR84" s="19">
        <f t="shared" si="50"/>
        <v>0</v>
      </c>
      <c r="AS84" s="19"/>
      <c r="AT84" s="5">
        <f t="shared" si="52"/>
        <v>0</v>
      </c>
    </row>
    <row r="85" spans="41:46" x14ac:dyDescent="0.25">
      <c r="AO85" s="5">
        <f t="shared" si="51"/>
        <v>0</v>
      </c>
      <c r="AP85" s="5"/>
      <c r="AQ85" s="5">
        <f t="shared" si="50"/>
        <v>0</v>
      </c>
      <c r="AR85" s="19">
        <f t="shared" si="50"/>
        <v>0</v>
      </c>
      <c r="AS85" s="19"/>
      <c r="AT85" s="5">
        <f t="shared" si="52"/>
        <v>0</v>
      </c>
    </row>
    <row r="86" spans="41:46" x14ac:dyDescent="0.25">
      <c r="AO86" s="5">
        <f t="shared" si="51"/>
        <v>0</v>
      </c>
      <c r="AP86" s="5"/>
      <c r="AQ86" s="5">
        <f t="shared" si="50"/>
        <v>0</v>
      </c>
      <c r="AR86" s="19">
        <f t="shared" si="50"/>
        <v>0</v>
      </c>
      <c r="AS86" s="19"/>
      <c r="AT86" s="5">
        <f t="shared" si="52"/>
        <v>0</v>
      </c>
    </row>
    <row r="87" spans="41:46" x14ac:dyDescent="0.25">
      <c r="AO87" s="5">
        <f t="shared" si="51"/>
        <v>0</v>
      </c>
      <c r="AP87" s="5"/>
      <c r="AQ87" s="5">
        <f t="shared" si="50"/>
        <v>0</v>
      </c>
      <c r="AR87" s="19">
        <f t="shared" si="50"/>
        <v>0</v>
      </c>
      <c r="AS87" s="19"/>
      <c r="AT87" s="5">
        <f t="shared" si="52"/>
        <v>0</v>
      </c>
    </row>
    <row r="88" spans="41:46" x14ac:dyDescent="0.25">
      <c r="AO88" s="5">
        <f t="shared" si="51"/>
        <v>0</v>
      </c>
      <c r="AP88" s="5"/>
      <c r="AQ88" s="5">
        <f t="shared" si="50"/>
        <v>0</v>
      </c>
      <c r="AR88" s="19">
        <f t="shared" si="50"/>
        <v>0</v>
      </c>
      <c r="AS88" s="19"/>
      <c r="AT88" s="5">
        <f t="shared" si="52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235</v>
      </c>
      <c r="DF210" s="231" t="s">
        <v>221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J11</f>
        <v>0</v>
      </c>
      <c r="DF211" s="233">
        <f>K11</f>
        <v>1071</v>
      </c>
    </row>
    <row r="212" spans="105:110" ht="15.5" x14ac:dyDescent="0.35">
      <c r="DA212" s="232" t="str">
        <f t="shared" ref="DA212:DA230" si="53">IF(A12="Elected","E",IF(A12="Excluded","Excluded",""))&amp;IF(B12&gt;0,B12,"")</f>
        <v/>
      </c>
      <c r="DB212" s="232" t="str">
        <f t="shared" ref="DB212:DD227" si="54">C12</f>
        <v>FLYNN</v>
      </c>
      <c r="DC212" s="232" t="str">
        <f t="shared" si="54"/>
        <v>Sinn Féin</v>
      </c>
      <c r="DD212" s="233">
        <f t="shared" si="54"/>
        <v>493</v>
      </c>
      <c r="DE212" s="233">
        <f t="shared" ref="DE212:DF212" si="55">J12</f>
        <v>0.48</v>
      </c>
      <c r="DF212" s="233">
        <f t="shared" si="55"/>
        <v>494.90000000000003</v>
      </c>
    </row>
    <row r="213" spans="105:110" ht="15.5" x14ac:dyDescent="0.35">
      <c r="DA213" s="232" t="str">
        <f t="shared" si="53"/>
        <v/>
      </c>
      <c r="DB213" s="232" t="str">
        <f t="shared" si="54"/>
        <v>FRENCH</v>
      </c>
      <c r="DC213" s="232" t="str">
        <f t="shared" si="54"/>
        <v xml:space="preserve">SDLP </v>
      </c>
      <c r="DD213" s="233">
        <f t="shared" si="54"/>
        <v>472</v>
      </c>
      <c r="DE213" s="233">
        <f t="shared" ref="DE213:DF213" si="56">J13</f>
        <v>0.89999999999999991</v>
      </c>
      <c r="DF213" s="233">
        <f t="shared" si="56"/>
        <v>477.32</v>
      </c>
    </row>
    <row r="214" spans="105:110" ht="15.5" x14ac:dyDescent="0.35">
      <c r="DA214" s="232" t="str">
        <f t="shared" si="53"/>
        <v>E3</v>
      </c>
      <c r="DB214" s="232" t="str">
        <f t="shared" si="54"/>
        <v>GIVAN</v>
      </c>
      <c r="DC214" s="232" t="str">
        <f t="shared" si="54"/>
        <v>D.U.P.</v>
      </c>
      <c r="DD214" s="233">
        <f t="shared" si="54"/>
        <v>1038</v>
      </c>
      <c r="DE214" s="233">
        <f t="shared" ref="DE214:DF214" si="57">J14</f>
        <v>0</v>
      </c>
      <c r="DF214" s="233">
        <f t="shared" si="57"/>
        <v>1089.5999999999999</v>
      </c>
    </row>
    <row r="215" spans="105:110" ht="15.5" x14ac:dyDescent="0.35">
      <c r="DA215" s="232" t="str">
        <f t="shared" si="53"/>
        <v>E2</v>
      </c>
      <c r="DB215" s="232" t="str">
        <f t="shared" si="54"/>
        <v>GREHAN</v>
      </c>
      <c r="DC215" s="232" t="str">
        <f t="shared" si="54"/>
        <v>Alliance Party</v>
      </c>
      <c r="DD215" s="233">
        <f t="shared" si="54"/>
        <v>1111</v>
      </c>
      <c r="DE215" s="233">
        <f t="shared" ref="DE215:DF215" si="58">J15</f>
        <v>-40</v>
      </c>
      <c r="DF215" s="233">
        <f t="shared" si="58"/>
        <v>1071</v>
      </c>
    </row>
    <row r="216" spans="105:110" ht="15.5" x14ac:dyDescent="0.35">
      <c r="DA216" s="232" t="str">
        <f t="shared" si="53"/>
        <v/>
      </c>
      <c r="DB216" s="232" t="str">
        <f t="shared" si="54"/>
        <v>KENNEDY</v>
      </c>
      <c r="DC216" s="232" t="str">
        <f t="shared" si="54"/>
        <v>Alliance Party</v>
      </c>
      <c r="DD216" s="233">
        <f t="shared" si="54"/>
        <v>674</v>
      </c>
      <c r="DE216" s="233">
        <f t="shared" ref="DE216:DF216" si="59">J16</f>
        <v>30.029999999999998</v>
      </c>
      <c r="DF216" s="233">
        <f t="shared" si="59"/>
        <v>707.32999999999993</v>
      </c>
    </row>
    <row r="217" spans="105:110" ht="15.5" x14ac:dyDescent="0.35">
      <c r="DA217" s="232" t="str">
        <f t="shared" si="53"/>
        <v>Excluded</v>
      </c>
      <c r="DB217" s="232" t="str">
        <f t="shared" si="54"/>
        <v>MCEVOY</v>
      </c>
      <c r="DC217" s="232" t="str">
        <f t="shared" si="54"/>
        <v xml:space="preserve">TUV </v>
      </c>
      <c r="DD217" s="233">
        <f t="shared" si="54"/>
        <v>387</v>
      </c>
      <c r="DE217" s="233">
        <f t="shared" ref="DE217:DF217" si="60">J17</f>
        <v>0</v>
      </c>
      <c r="DF217" s="233">
        <f t="shared" si="60"/>
        <v>0</v>
      </c>
    </row>
    <row r="218" spans="105:110" ht="15.5" x14ac:dyDescent="0.35">
      <c r="DA218" s="232" t="str">
        <f t="shared" si="53"/>
        <v/>
      </c>
      <c r="DB218" s="232" t="str">
        <f t="shared" si="54"/>
        <v>MITCHELL</v>
      </c>
      <c r="DC218" s="232" t="str">
        <f t="shared" si="54"/>
        <v>UUP</v>
      </c>
      <c r="DD218" s="233">
        <f t="shared" si="54"/>
        <v>870</v>
      </c>
      <c r="DE218" s="233">
        <f t="shared" ref="DE218:DF218" si="61">J18</f>
        <v>0.72</v>
      </c>
      <c r="DF218" s="233">
        <f t="shared" si="61"/>
        <v>963.58</v>
      </c>
    </row>
    <row r="219" spans="105:110" ht="15.5" x14ac:dyDescent="0.35">
      <c r="DA219" s="232" t="str">
        <f t="shared" si="53"/>
        <v/>
      </c>
      <c r="DB219" s="232" t="str">
        <f t="shared" si="54"/>
        <v>PALMER</v>
      </c>
      <c r="DC219" s="232" t="str">
        <f t="shared" si="54"/>
        <v>UUP</v>
      </c>
      <c r="DD219" s="233">
        <f t="shared" si="54"/>
        <v>625</v>
      </c>
      <c r="DE219" s="233">
        <f t="shared" ref="DE219:DF219" si="62">J19</f>
        <v>0.69</v>
      </c>
      <c r="DF219" s="233">
        <f t="shared" si="62"/>
        <v>693.59</v>
      </c>
    </row>
    <row r="220" spans="105:110" ht="15.5" x14ac:dyDescent="0.35">
      <c r="DA220" s="232" t="str">
        <f t="shared" si="53"/>
        <v/>
      </c>
      <c r="DB220" s="232" t="str">
        <f t="shared" si="54"/>
        <v>PORTER</v>
      </c>
      <c r="DC220" s="232" t="str">
        <f t="shared" si="54"/>
        <v>D.U.P.</v>
      </c>
      <c r="DD220" s="233">
        <f t="shared" si="54"/>
        <v>687</v>
      </c>
      <c r="DE220" s="233">
        <f t="shared" ref="DE220:DF220" si="63">J20</f>
        <v>0.39</v>
      </c>
      <c r="DF220" s="233">
        <f t="shared" si="63"/>
        <v>900.81</v>
      </c>
    </row>
    <row r="221" spans="105:110" ht="15.5" x14ac:dyDescent="0.35">
      <c r="DA221" s="232" t="str">
        <f t="shared" si="53"/>
        <v/>
      </c>
      <c r="DB221" s="232">
        <f t="shared" si="54"/>
        <v>0</v>
      </c>
      <c r="DC221" s="232">
        <f t="shared" si="54"/>
        <v>0</v>
      </c>
      <c r="DD221" s="233">
        <f t="shared" si="54"/>
        <v>0</v>
      </c>
      <c r="DE221" s="233">
        <f t="shared" ref="DE221:DF221" si="64">J21</f>
        <v>0</v>
      </c>
      <c r="DF221" s="233">
        <f t="shared" si="64"/>
        <v>0</v>
      </c>
    </row>
    <row r="222" spans="105:110" ht="15.5" x14ac:dyDescent="0.35">
      <c r="DA222" s="232" t="str">
        <f t="shared" si="53"/>
        <v/>
      </c>
      <c r="DB222" s="232">
        <f t="shared" si="54"/>
        <v>0</v>
      </c>
      <c r="DC222" s="232">
        <f t="shared" si="54"/>
        <v>0</v>
      </c>
      <c r="DD222" s="233">
        <f t="shared" si="54"/>
        <v>0</v>
      </c>
      <c r="DE222" s="233">
        <f t="shared" ref="DE222:DF222" si="65">J22</f>
        <v>0</v>
      </c>
      <c r="DF222" s="233">
        <f t="shared" si="65"/>
        <v>0</v>
      </c>
    </row>
    <row r="223" spans="105:110" ht="15.5" x14ac:dyDescent="0.35">
      <c r="DA223" s="232" t="str">
        <f t="shared" si="53"/>
        <v/>
      </c>
      <c r="DB223" s="232">
        <f t="shared" si="54"/>
        <v>0</v>
      </c>
      <c r="DC223" s="232">
        <f t="shared" si="54"/>
        <v>0</v>
      </c>
      <c r="DD223" s="233">
        <f t="shared" si="54"/>
        <v>0</v>
      </c>
      <c r="DE223" s="233">
        <f t="shared" ref="DE223:DF223" si="66">J23</f>
        <v>0</v>
      </c>
      <c r="DF223" s="233">
        <f t="shared" si="66"/>
        <v>0</v>
      </c>
    </row>
    <row r="224" spans="105:110" ht="15.5" x14ac:dyDescent="0.35">
      <c r="DA224" s="232" t="str">
        <f t="shared" si="53"/>
        <v/>
      </c>
      <c r="DB224" s="232">
        <f t="shared" si="54"/>
        <v>0</v>
      </c>
      <c r="DC224" s="232">
        <f t="shared" si="54"/>
        <v>0</v>
      </c>
      <c r="DD224" s="233">
        <f t="shared" si="54"/>
        <v>0</v>
      </c>
      <c r="DE224" s="233">
        <f t="shared" ref="DE224:DF224" si="67">J24</f>
        <v>0</v>
      </c>
      <c r="DF224" s="233">
        <f t="shared" si="67"/>
        <v>0</v>
      </c>
    </row>
    <row r="225" spans="105:110" ht="15.5" x14ac:dyDescent="0.35">
      <c r="DA225" s="232" t="str">
        <f t="shared" si="53"/>
        <v/>
      </c>
      <c r="DB225" s="232">
        <f t="shared" si="54"/>
        <v>0</v>
      </c>
      <c r="DC225" s="232">
        <f t="shared" si="54"/>
        <v>0</v>
      </c>
      <c r="DD225" s="233">
        <f t="shared" si="54"/>
        <v>0</v>
      </c>
      <c r="DE225" s="233">
        <f t="shared" ref="DE225:DF225" si="68">J25</f>
        <v>0</v>
      </c>
      <c r="DF225" s="233">
        <f t="shared" si="68"/>
        <v>0</v>
      </c>
    </row>
    <row r="226" spans="105:110" ht="15.5" x14ac:dyDescent="0.35">
      <c r="DA226" s="232" t="str">
        <f t="shared" si="53"/>
        <v/>
      </c>
      <c r="DB226" s="232">
        <f t="shared" si="54"/>
        <v>0</v>
      </c>
      <c r="DC226" s="232">
        <f t="shared" si="54"/>
        <v>0</v>
      </c>
      <c r="DD226" s="233">
        <f t="shared" si="54"/>
        <v>0</v>
      </c>
      <c r="DE226" s="233">
        <f t="shared" ref="DE226:DF226" si="69">J26</f>
        <v>0</v>
      </c>
      <c r="DF226" s="233">
        <f t="shared" si="69"/>
        <v>0</v>
      </c>
    </row>
    <row r="227" spans="105:110" ht="15.5" x14ac:dyDescent="0.35">
      <c r="DA227" s="232" t="str">
        <f t="shared" si="53"/>
        <v/>
      </c>
      <c r="DB227" s="232">
        <f t="shared" si="54"/>
        <v>0</v>
      </c>
      <c r="DC227" s="232">
        <f t="shared" si="54"/>
        <v>0</v>
      </c>
      <c r="DD227" s="233">
        <f t="shared" si="54"/>
        <v>0</v>
      </c>
      <c r="DE227" s="233">
        <f t="shared" ref="DE227:DF227" si="70">J27</f>
        <v>0</v>
      </c>
      <c r="DF227" s="233">
        <f t="shared" si="70"/>
        <v>0</v>
      </c>
    </row>
    <row r="228" spans="105:110" ht="15.5" x14ac:dyDescent="0.35">
      <c r="DA228" s="232" t="str">
        <f t="shared" si="53"/>
        <v/>
      </c>
      <c r="DB228" s="232">
        <f t="shared" ref="DB228:DD230" si="71">C28</f>
        <v>0</v>
      </c>
      <c r="DC228" s="232">
        <f t="shared" si="71"/>
        <v>0</v>
      </c>
      <c r="DD228" s="233">
        <f t="shared" si="71"/>
        <v>0</v>
      </c>
      <c r="DE228" s="233">
        <f t="shared" ref="DE228:DF228" si="72">J28</f>
        <v>0</v>
      </c>
      <c r="DF228" s="233">
        <f t="shared" si="72"/>
        <v>0</v>
      </c>
    </row>
    <row r="229" spans="105:110" ht="15.5" x14ac:dyDescent="0.35">
      <c r="DA229" s="232" t="str">
        <f t="shared" si="53"/>
        <v/>
      </c>
      <c r="DB229" s="232">
        <f t="shared" si="71"/>
        <v>0</v>
      </c>
      <c r="DC229" s="232">
        <f t="shared" si="71"/>
        <v>0</v>
      </c>
      <c r="DD229" s="233">
        <f t="shared" si="71"/>
        <v>0</v>
      </c>
      <c r="DE229" s="233">
        <f t="shared" ref="DE229:DF229" si="73">J29</f>
        <v>0</v>
      </c>
      <c r="DF229" s="233">
        <f t="shared" si="73"/>
        <v>0</v>
      </c>
    </row>
    <row r="230" spans="105:110" ht="15.5" x14ac:dyDescent="0.35">
      <c r="DA230" s="232" t="str">
        <f t="shared" si="53"/>
        <v/>
      </c>
      <c r="DB230" s="232">
        <f t="shared" si="71"/>
        <v>0</v>
      </c>
      <c r="DC230" s="232">
        <f t="shared" si="71"/>
        <v>0</v>
      </c>
      <c r="DD230" s="233">
        <f t="shared" si="71"/>
        <v>0</v>
      </c>
      <c r="DE230" s="233">
        <f t="shared" ref="DE230:DF230" si="74">J30</f>
        <v>0</v>
      </c>
      <c r="DF230" s="233">
        <f t="shared" si="74"/>
        <v>0</v>
      </c>
    </row>
    <row r="231" spans="105:110" ht="15.5" x14ac:dyDescent="0.35">
      <c r="DC231" s="234" t="s">
        <v>123</v>
      </c>
      <c r="DD231" s="234"/>
      <c r="DE231" s="233">
        <f t="shared" ref="DE231:DF231" si="75">J31</f>
        <v>6.7899999999999991</v>
      </c>
      <c r="DF231" s="233">
        <f t="shared" si="75"/>
        <v>26.869999999999994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 t="shared" ref="DF232" si="76">K32</f>
        <v>7495.9999999999991</v>
      </c>
    </row>
  </sheetData>
  <sheetProtection sheet="1" objects="1" scenarios="1"/>
  <protectedRanges>
    <protectedRange sqref="BH5:BH24" name="Range23"/>
    <protectedRange sqref="BH5:BH24" name="Range22"/>
    <protectedRange sqref="BH5:BH24" name="Range21"/>
    <protectedRange sqref="CD6" name="Range19"/>
    <protectedRange sqref="CC8:CC28" name="Range18"/>
    <protectedRange sqref="CB6" name="Range17"/>
    <protectedRange sqref="CA8:CA28" name="Range16"/>
    <protectedRange sqref="BZ6" name="Range15"/>
    <protectedRange sqref="BY8:BY28" name="Range14"/>
    <protectedRange sqref="BX6" name="Range13"/>
    <protectedRange sqref="BW8:BW28" name="Range12"/>
    <protectedRange sqref="BU8:BU28" name="Range11"/>
    <protectedRange sqref="BS8:BS28" name="Range10"/>
    <protectedRange sqref="BP8:BP27" name="Range9"/>
    <protectedRange sqref="BT3" name="Range8"/>
    <protectedRange sqref="K34:K36" name="Range1"/>
    <protectedRange sqref="BC10" name="Range4"/>
    <protectedRange sqref="BC13:BC14" name="Range5"/>
    <protectedRange sqref="BF5:BF24" name="Range6"/>
    <protectedRange sqref="BF26" name="Range7"/>
    <protectedRange sqref="BT3:BZ3" name="Range20"/>
    <protectedRange sqref="AQ5" name="Range3_1"/>
  </protectedRanges>
  <mergeCells count="83">
    <mergeCell ref="BI30:BK31"/>
    <mergeCell ref="BX30:BY32"/>
    <mergeCell ref="CB31:CE32"/>
    <mergeCell ref="U4:W4"/>
    <mergeCell ref="Z6:AF7"/>
    <mergeCell ref="AL28:AQ29"/>
    <mergeCell ref="AL31:AQ32"/>
    <mergeCell ref="BF30:BG32"/>
    <mergeCell ref="AJ25:AK25"/>
    <mergeCell ref="AJ24:AK24"/>
    <mergeCell ref="AO24:AP24"/>
    <mergeCell ref="AO25:AP25"/>
    <mergeCell ref="AJ20:AK20"/>
    <mergeCell ref="AZ22:AZ23"/>
    <mergeCell ref="AJ22:AK22"/>
    <mergeCell ref="AJ23:AK23"/>
    <mergeCell ref="AJ21:AK21"/>
    <mergeCell ref="AO20:AP20"/>
    <mergeCell ref="AO21:AP21"/>
    <mergeCell ref="AO22:AP22"/>
    <mergeCell ref="AO23:AP23"/>
    <mergeCell ref="AL13:AL17"/>
    <mergeCell ref="AM13:AM17"/>
    <mergeCell ref="T7:U7"/>
    <mergeCell ref="Z2:AF2"/>
    <mergeCell ref="Z4:AF4"/>
    <mergeCell ref="V6:W6"/>
    <mergeCell ref="V7:W7"/>
    <mergeCell ref="AK9:AP10"/>
    <mergeCell ref="V8:W8"/>
    <mergeCell ref="AO13:AO17"/>
    <mergeCell ref="K1:L1"/>
    <mergeCell ref="H3:I3"/>
    <mergeCell ref="O4:S4"/>
    <mergeCell ref="O3:S3"/>
    <mergeCell ref="H4:I4"/>
    <mergeCell ref="AQ13:AQ17"/>
    <mergeCell ref="AP13:AP17"/>
    <mergeCell ref="AN13:AN19"/>
    <mergeCell ref="E3:F3"/>
    <mergeCell ref="O2:S2"/>
    <mergeCell ref="AK6:AP7"/>
    <mergeCell ref="Z3:AF3"/>
    <mergeCell ref="AL3:AQ3"/>
    <mergeCell ref="T6:U6"/>
    <mergeCell ref="J6:K6"/>
    <mergeCell ref="J7:K7"/>
    <mergeCell ref="L6:M6"/>
    <mergeCell ref="N6:O6"/>
    <mergeCell ref="E4:F4"/>
    <mergeCell ref="F6:G6"/>
    <mergeCell ref="H6:I6"/>
    <mergeCell ref="F7:G7"/>
    <mergeCell ref="H7:I7"/>
    <mergeCell ref="L7:M7"/>
    <mergeCell ref="BP5:BP7"/>
    <mergeCell ref="AQ6:AR7"/>
    <mergeCell ref="P7:Q7"/>
    <mergeCell ref="P6:Q6"/>
    <mergeCell ref="N7:O7"/>
    <mergeCell ref="R8:S8"/>
    <mergeCell ref="AQ9:AR10"/>
    <mergeCell ref="CB2:CE2"/>
    <mergeCell ref="BI3:BK3"/>
    <mergeCell ref="BT3:BZ3"/>
    <mergeCell ref="R7:S7"/>
    <mergeCell ref="R6:S6"/>
    <mergeCell ref="DE209:DF209"/>
    <mergeCell ref="N8:O8"/>
    <mergeCell ref="T8:U8"/>
    <mergeCell ref="F9:G9"/>
    <mergeCell ref="H9:I9"/>
    <mergeCell ref="J9:K9"/>
    <mergeCell ref="L9:M9"/>
    <mergeCell ref="N9:O9"/>
    <mergeCell ref="F8:G8"/>
    <mergeCell ref="H8:I8"/>
    <mergeCell ref="J8:K8"/>
    <mergeCell ref="L8:M8"/>
    <mergeCell ref="P9:Q9"/>
    <mergeCell ref="R9:S9"/>
    <mergeCell ref="T9:U9"/>
    <mergeCell ref="P8:Q8"/>
  </mergeCells>
  <phoneticPr fontId="0" type="noConversion"/>
  <conditionalFormatting sqref="BF30:BG31">
    <cfRule type="cellIs" dxfId="131" priority="1" stopIfTrue="1" operator="equal">
      <formula>"NONE"</formula>
    </cfRule>
    <cfRule type="cellIs" dxfId="130" priority="2" stopIfTrue="1" operator="notEqual">
      <formula>"NONE"</formula>
    </cfRule>
  </conditionalFormatting>
  <conditionalFormatting sqref="BX30">
    <cfRule type="cellIs" dxfId="129" priority="3" stopIfTrue="1" operator="equal">
      <formula>"Calculations OK"</formula>
    </cfRule>
    <cfRule type="cellIs" dxfId="128" priority="4" stopIfTrue="1" operator="equal">
      <formula>"Check Count for Error"</formula>
    </cfRule>
  </conditionalFormatting>
  <conditionalFormatting sqref="V4:W4">
    <cfRule type="cellIs" dxfId="127" priority="5" stopIfTrue="1" operator="equal">
      <formula>"Totals Correct"</formula>
    </cfRule>
    <cfRule type="cellIs" dxfId="126" priority="6" stopIfTrue="1" operator="equal">
      <formula>"ERROR"</formula>
    </cfRule>
  </conditionalFormatting>
  <conditionalFormatting sqref="U4">
    <cfRule type="cellIs" dxfId="125" priority="7" stopIfTrue="1" operator="equal">
      <formula>"OK TO MOVE TO NEXT STAGE"</formula>
    </cfRule>
    <cfRule type="cellIs" dxfId="124" priority="8" stopIfTrue="1" operator="equal">
      <formula>"DO NOT MOVE TO NEXT STAGE"</formula>
    </cfRule>
  </conditionalFormatting>
  <conditionalFormatting sqref="AL3">
    <cfRule type="cellIs" dxfId="123" priority="9" stopIfTrue="1" operator="notEqual">
      <formula>0</formula>
    </cfRule>
  </conditionalFormatting>
  <hyperlinks>
    <hyperlink ref="Z6:AF7" location="'Stage 3'!A1" display="BACK to Overview of STAGE 3"/>
    <hyperlink ref="AL28" location="'Stage 2'!BI1" display="MOVE TO TRANSFER OF SURPLUS VOTES FORM"/>
    <hyperlink ref="AL31" location="'Stage 2'!CC1" display="MOVE TO EXCLUDE CANDIDATE FORM"/>
    <hyperlink ref="AL28:AQ29" location="'Stage 4'!AY1:BK1" display="MOVE TO TRANSFER OF SURPLUS VOTES FORM"/>
    <hyperlink ref="AL31:AQ32" location="'Stage 4'!BN1:CE1" display="MOVE TO EXCLUDE CANDIDATE FORM"/>
    <hyperlink ref="BI3" location="'Stage 2'!AQ5" display="MOVE TO NEXT FORM"/>
    <hyperlink ref="BI3:BK3" location="'Stage 4'!Y1:AR1" display="BACK to DECISION FORM"/>
    <hyperlink ref="BI30:BK31" location="'Stage 4'!A1" display="FORWARD to OVERVIEW OF STAGE 4"/>
    <hyperlink ref="CB31" location="'Stage 2'!A1" display="HOME TO OVERVIEW OF STAGE 2"/>
    <hyperlink ref="CB31:CE32" location="'Stage 4'!A1" display="FORWARD to OVERVIEW OF STAGE 4"/>
    <hyperlink ref="CB2" location="'Stage 2'!AQ5" display="MOVE TO NEXT FORM"/>
    <hyperlink ref="CB2:CE2" location="'Stage 4'!Y1:AR1" display="BACK to DECISION FORM"/>
    <hyperlink ref="O4" location="'Stage 3'!A1" display="MOVE TO STAGE 3"/>
    <hyperlink ref="O2" location="'Stage 3'!A1" display="MOVE TO STAGE 3"/>
    <hyperlink ref="O2:S2" location="'Stage 4'!Y1:AR1" display="BACK to DECISION FORM Stage 4"/>
    <hyperlink ref="O4:S4" location="'Stage 5'!Y1:AR1" display="FORWARD TO STAGE 5"/>
  </hyperlinks>
  <pageMargins left="0.25" right="0.25" top="0.75" bottom="0.75" header="0.3" footer="0.3"/>
  <pageSetup paperSize="9" scale="1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24.08984375" customWidth="1"/>
    <col min="25" max="25" width="4.453125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453125" customWidth="1"/>
    <col min="43" max="43" width="11.36328125" customWidth="1"/>
    <col min="44" max="44" width="16.453125" customWidth="1"/>
    <col min="45" max="45" width="215.90625" customWidth="1"/>
    <col min="46" max="46" width="9.36328125" bestFit="1" customWidth="1"/>
    <col min="47" max="47" width="13" bestFit="1" customWidth="1"/>
    <col min="48" max="48" width="9.36328125" bestFit="1" customWidth="1"/>
    <col min="49" max="49" width="13" bestFit="1" customWidth="1"/>
    <col min="50" max="50" width="218" customWidth="1"/>
    <col min="51" max="51" width="5" customWidth="1"/>
    <col min="52" max="52" width="49.90625" customWidth="1"/>
    <col min="53" max="53" width="14.36328125" customWidth="1"/>
    <col min="54" max="54" width="3.36328125" customWidth="1"/>
    <col min="55" max="55" width="9.36328125" bestFit="1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9.36328125" customWidth="1"/>
    <col min="67" max="67" width="10.90625" customWidth="1"/>
    <col min="68" max="68" width="7.45312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106</v>
      </c>
      <c r="J1" s="85" t="s">
        <v>37</v>
      </c>
      <c r="K1" s="319">
        <f>'Basic Input'!C2</f>
        <v>45064</v>
      </c>
      <c r="L1" s="319"/>
      <c r="Z1" s="10" t="s">
        <v>236</v>
      </c>
      <c r="AQ1" s="33"/>
      <c r="AZ1" s="10" t="s">
        <v>126</v>
      </c>
      <c r="BE1" s="34" t="str">
        <f>IF(AT5="T","COMPLETE THIS FORM","YOU HAVE NOT SELECTED TO COMPLETE THIS FORM")</f>
        <v>COMPLETE THIS FORM</v>
      </c>
      <c r="BR1" s="10" t="s">
        <v>127</v>
      </c>
      <c r="BY1" s="34" t="str">
        <f>IF(AT5="E","COMPLETE THIS FORM","YOU HAVE NOT SELECTED TO COMPLETE THIS FORM")</f>
        <v>YOU HAVE NOT SELECTED TO 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237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18.599999999999909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R2" s="36" t="s">
        <v>106</v>
      </c>
      <c r="CB2" s="345" t="s">
        <v>131</v>
      </c>
      <c r="CC2" s="346"/>
      <c r="CD2" s="346"/>
      <c r="CE2" s="347"/>
    </row>
    <row r="3" spans="1:105" ht="24" customHeight="1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23"/>
      <c r="P3" s="323"/>
      <c r="Q3" s="323"/>
      <c r="R3" s="323"/>
      <c r="S3" s="323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18.599999999999909</v>
      </c>
      <c r="AJ3" s="163"/>
      <c r="AK3" s="163"/>
      <c r="AL3" s="352" t="str">
        <f>IF(AQ5="n","MOVE TO EXCLUDE CANDIDATE FORM",IF(AQ5="y","MOVE TO TRANSFER OF SURPLUS VOTES FORM",0))</f>
        <v>MOVE TO TRANSFER OF SURPLUS VOTES FORM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R3" s="81" t="s">
        <v>133</v>
      </c>
      <c r="BS3" s="82"/>
      <c r="BT3" s="348"/>
      <c r="BU3" s="349"/>
      <c r="BV3" s="349"/>
      <c r="BW3" s="349"/>
      <c r="BX3" s="349"/>
      <c r="BY3" s="349"/>
      <c r="BZ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238</v>
      </c>
      <c r="P4" s="346"/>
      <c r="Q4" s="346"/>
      <c r="R4" s="346"/>
      <c r="S4" s="347"/>
      <c r="U4" s="311" t="str">
        <f>IF(M33="ERROR","DO NOT MOVE TO NEXT STAGE","OK TO MOVE TO NEXT STAGE")</f>
        <v>OK TO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4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 t="s">
        <v>144</v>
      </c>
      <c r="AT5" s="7" t="str">
        <f>IF(AQ5=0,0,IF(AQ5="Y","T","E"))</f>
        <v>T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IF(C11=0,0,IF(K11=0,"Excluded",0))</f>
        <v>0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27" t="s">
        <v>239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Transfer</v>
      </c>
      <c r="AR6" s="302"/>
      <c r="AS6" s="181"/>
      <c r="AT6" s="91"/>
      <c r="AU6" s="91"/>
      <c r="AW6" s="33"/>
      <c r="AX6" s="33"/>
      <c r="AZ6" s="36" t="s">
        <v>106</v>
      </c>
      <c r="BA6" s="245"/>
      <c r="BE6" s="61" t="str">
        <f>'Verification of Boxes'!J11</f>
        <v>FLYNN</v>
      </c>
      <c r="BF6" s="64">
        <v>2</v>
      </c>
      <c r="BG6" s="100">
        <f t="shared" si="0"/>
        <v>0.04</v>
      </c>
      <c r="BH6" s="150"/>
      <c r="BI6" s="5">
        <f t="shared" ref="BI6:BI24" si="1">IF(A12&lt;&gt;0,A12,0)</f>
        <v>0</v>
      </c>
      <c r="BJ6" s="5">
        <f t="shared" ref="BJ6:BJ24" si="2">IF(C12=0,0,IF(K12=0,"Excluded",0))</f>
        <v>0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/>
      <c r="BY6" s="122" t="s">
        <v>153</v>
      </c>
      <c r="BZ6" s="65"/>
      <c r="CA6" s="122" t="s">
        <v>153</v>
      </c>
      <c r="CB6" s="65"/>
      <c r="CC6" s="122" t="s">
        <v>153</v>
      </c>
      <c r="CD6" s="65"/>
      <c r="CE6" s="204">
        <f>BS29+BU29+BW29+BY29+CA29+CC29</f>
        <v>0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IF($AT5=0,0,IF($AT5="T",$AZ7,$BR4))</f>
        <v>Transfer</v>
      </c>
      <c r="M7" s="362"/>
      <c r="N7" s="309"/>
      <c r="O7" s="310"/>
      <c r="P7" s="309"/>
      <c r="Q7" s="310"/>
      <c r="R7" s="309"/>
      <c r="S7" s="310"/>
      <c r="T7" s="309"/>
      <c r="U7" s="310"/>
      <c r="V7" s="309"/>
      <c r="W7" s="310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>
        <v>1</v>
      </c>
      <c r="BG7" s="100">
        <f t="shared" si="0"/>
        <v>0.02</v>
      </c>
      <c r="BH7" s="150"/>
      <c r="BI7" s="5">
        <f t="shared" si="1"/>
        <v>0</v>
      </c>
      <c r="BJ7" s="5">
        <f t="shared" si="2"/>
        <v>0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EWING</v>
      </c>
      <c r="G8" s="364"/>
      <c r="H8" s="359" t="str">
        <f>'Stage 3'!H8:I8</f>
        <v xml:space="preserve"> MCEVOY</v>
      </c>
      <c r="I8" s="360"/>
      <c r="J8" s="361" t="str">
        <f>'Stage 4'!J8:K8</f>
        <v>GREHAN</v>
      </c>
      <c r="K8" s="362"/>
      <c r="L8" s="359" t="str">
        <f>IF($L7="Transfer",$BA8,$BT3)</f>
        <v>GIVAN</v>
      </c>
      <c r="M8" s="360"/>
      <c r="N8" s="303"/>
      <c r="O8" s="304"/>
      <c r="P8" s="303"/>
      <c r="Q8" s="304"/>
      <c r="R8" s="303"/>
      <c r="S8" s="304"/>
      <c r="T8" s="303"/>
      <c r="U8" s="304"/>
      <c r="V8" s="303"/>
      <c r="W8" s="304"/>
      <c r="AA8" s="3"/>
      <c r="AI8" s="10"/>
      <c r="AJ8" s="10"/>
      <c r="AZ8" s="8" t="s">
        <v>160</v>
      </c>
      <c r="BA8" s="151" t="str">
        <f>IF(BE49&lt;&gt;0,BE49,IF(BE50&lt;&gt;0,BE50,IF(BE51&lt;&gt;0,BE51,IF(BE52&lt;&gt;0,BE52,0))))</f>
        <v>GIVAN</v>
      </c>
      <c r="BE8" s="61" t="str">
        <f>'Verification of Boxes'!J13</f>
        <v>GIVAN</v>
      </c>
      <c r="BF8" s="64"/>
      <c r="BG8" s="100">
        <f t="shared" si="0"/>
        <v>0</v>
      </c>
      <c r="BH8" s="150" t="s">
        <v>144</v>
      </c>
      <c r="BI8" s="5" t="str">
        <f t="shared" si="1"/>
        <v>Elected</v>
      </c>
      <c r="BJ8" s="5">
        <f t="shared" si="2"/>
        <v>0</v>
      </c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EWING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115" t="s">
        <v>112</v>
      </c>
      <c r="W9" s="116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Transfer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M9" s="3"/>
      <c r="BN9" s="5">
        <f t="shared" ref="BN9:BN27" si="11">IF(A12&lt;&gt;0,A12,0)</f>
        <v>0</v>
      </c>
      <c r="BO9" s="7">
        <f t="shared" si="3"/>
        <v>494.90000000000003</v>
      </c>
      <c r="BP9" s="66"/>
      <c r="BR9" s="9" t="str">
        <f>'Verification of Boxes'!J11</f>
        <v>FLYNN</v>
      </c>
      <c r="BS9" s="64"/>
      <c r="BT9" s="5">
        <f t="shared" si="4"/>
        <v>0</v>
      </c>
      <c r="BU9" s="64"/>
      <c r="BV9" s="5">
        <f t="shared" si="5"/>
        <v>0</v>
      </c>
      <c r="BW9" s="64"/>
      <c r="BX9" s="5">
        <f t="shared" si="6"/>
        <v>0</v>
      </c>
      <c r="BY9" s="64"/>
      <c r="BZ9" s="5">
        <f t="shared" si="7"/>
        <v>0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0</v>
      </c>
    </row>
    <row r="10" spans="1:105" ht="15" customHeight="1" thickBot="1" x14ac:dyDescent="0.3">
      <c r="A10" s="15" t="s">
        <v>113</v>
      </c>
      <c r="B10" s="16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>
        <v>1089.5999999999999</v>
      </c>
      <c r="BE10" s="61" t="str">
        <f>'Verification of Boxes'!J15</f>
        <v>KENNEDY</v>
      </c>
      <c r="BF10" s="64">
        <v>11</v>
      </c>
      <c r="BG10" s="100">
        <f t="shared" si="0"/>
        <v>0.22</v>
      </c>
      <c r="BH10" s="150"/>
      <c r="BI10" s="5">
        <f t="shared" si="1"/>
        <v>0</v>
      </c>
      <c r="BJ10" s="5">
        <f t="shared" si="2"/>
        <v>0</v>
      </c>
      <c r="BM10" s="3"/>
      <c r="BN10" s="5">
        <f t="shared" si="11"/>
        <v>0</v>
      </c>
      <c r="BO10" s="7">
        <f t="shared" si="3"/>
        <v>477.32</v>
      </c>
      <c r="BP10" s="66"/>
      <c r="BR10" s="9" t="str">
        <f>'Verification of Boxes'!J12</f>
        <v>FRENCH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4'!A11&lt;&gt;0,'Stage 4'!A11,IF(M11&gt;=$M$3,"Elected",IF(BP8&lt;&gt;0,"Excluded",0)))</f>
        <v>Elected</v>
      </c>
      <c r="B11" s="235">
        <f>'Stage 4'!B11</f>
        <v>1</v>
      </c>
      <c r="C11" s="155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>'Stage 3'!H11</f>
        <v>0</v>
      </c>
      <c r="I11" s="135">
        <f>'Stage 3'!I11</f>
        <v>1071</v>
      </c>
      <c r="J11" s="71">
        <f>'Stage 4'!J11</f>
        <v>0</v>
      </c>
      <c r="K11" s="135">
        <f>'Stage 4'!K11</f>
        <v>1071</v>
      </c>
      <c r="L11" s="71">
        <f t="shared" ref="L11:L30" si="12">IF($C11&lt;&gt;0,$BK49,0)</f>
        <v>0</v>
      </c>
      <c r="M11" s="27">
        <f t="shared" ref="M11:M31" si="13">IF(L$8=0,0,K11+L11)</f>
        <v>1071</v>
      </c>
      <c r="N11" s="71"/>
      <c r="O11" s="27">
        <f t="shared" ref="O11:O31" si="14">IF(N$8=0,0,M11+N11)</f>
        <v>0</v>
      </c>
      <c r="P11" s="71"/>
      <c r="Q11" s="27">
        <f t="shared" ref="Q11:Q31" si="15">IF(P$8=0,0,O11+P11)</f>
        <v>0</v>
      </c>
      <c r="R11" s="71"/>
      <c r="S11" s="27">
        <f t="shared" ref="S11:S31" si="16">IF(R$8=0,0,Q11+R11)</f>
        <v>0</v>
      </c>
      <c r="T11" s="71"/>
      <c r="U11" s="27">
        <f t="shared" ref="U11:U31" si="17">IF(T$8=0,0,S11+T11)</f>
        <v>0</v>
      </c>
      <c r="V11" s="69"/>
      <c r="W11" s="39">
        <f t="shared" ref="W11:W31" si="18">IF(V$8=0,0,U11+V11)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>IF('Stage 4'!A12&lt;&gt;0,'Stage 4'!A12,IF(M12&gt;=$M$3,"Elected",IF(BP9&lt;&gt;0,"Excluded",0)))</f>
        <v>0</v>
      </c>
      <c r="B12" s="235">
        <f>'Stage 4'!B12</f>
        <v>0</v>
      </c>
      <c r="C12" s="119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>'Stage 3'!H12</f>
        <v>1</v>
      </c>
      <c r="I12" s="135">
        <f>'Stage 3'!I12</f>
        <v>494.42</v>
      </c>
      <c r="J12" s="71">
        <f>'Stage 4'!J12</f>
        <v>0.48</v>
      </c>
      <c r="K12" s="135">
        <f>'Stage 4'!K12</f>
        <v>494.90000000000003</v>
      </c>
      <c r="L12" s="71">
        <f t="shared" si="12"/>
        <v>0.04</v>
      </c>
      <c r="M12" s="27">
        <f t="shared" si="13"/>
        <v>494.94000000000005</v>
      </c>
      <c r="N12" s="71"/>
      <c r="O12" s="27">
        <f t="shared" si="14"/>
        <v>0</v>
      </c>
      <c r="P12" s="71"/>
      <c r="Q12" s="27">
        <f t="shared" si="15"/>
        <v>0</v>
      </c>
      <c r="R12" s="71"/>
      <c r="S12" s="27">
        <f t="shared" si="16"/>
        <v>0</v>
      </c>
      <c r="T12" s="71"/>
      <c r="U12" s="27">
        <f t="shared" si="17"/>
        <v>0</v>
      </c>
      <c r="V12" s="69"/>
      <c r="W12" s="39">
        <f t="shared" si="18"/>
        <v>0</v>
      </c>
      <c r="AJ12" s="38"/>
      <c r="AZ12" t="s">
        <v>166</v>
      </c>
      <c r="BA12" s="3" t="s">
        <v>167</v>
      </c>
      <c r="BB12" s="3"/>
      <c r="BC12" s="50">
        <f>AG3</f>
        <v>18.599999999999909</v>
      </c>
      <c r="BE12" s="61" t="str">
        <f>'Verification of Boxes'!J17</f>
        <v>MITCHELL</v>
      </c>
      <c r="BF12" s="64">
        <v>77</v>
      </c>
      <c r="BG12" s="100">
        <f t="shared" si="0"/>
        <v>1.54</v>
      </c>
      <c r="BH12" s="150"/>
      <c r="BI12" s="5">
        <f t="shared" si="1"/>
        <v>0</v>
      </c>
      <c r="BJ12" s="5">
        <f t="shared" si="2"/>
        <v>0</v>
      </c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>
        <f>IF('Stage 4'!A13&lt;&gt;0,'Stage 4'!A13,IF(M13&gt;=$M$3,"Elected",IF(BP10&lt;&gt;0,"Excluded",0)))</f>
        <v>0</v>
      </c>
      <c r="B13" s="235">
        <f>'Stage 4'!B13</f>
        <v>0</v>
      </c>
      <c r="C13" s="119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>'Stage 3'!H13</f>
        <v>4</v>
      </c>
      <c r="I13" s="135">
        <f>'Stage 3'!I13</f>
        <v>476.42</v>
      </c>
      <c r="J13" s="71">
        <f>'Stage 4'!J13</f>
        <v>0.89999999999999991</v>
      </c>
      <c r="K13" s="135">
        <f>'Stage 4'!K13</f>
        <v>477.32</v>
      </c>
      <c r="L13" s="71">
        <f t="shared" si="12"/>
        <v>0.02</v>
      </c>
      <c r="M13" s="27">
        <f t="shared" si="13"/>
        <v>477.34</v>
      </c>
      <c r="N13" s="71"/>
      <c r="O13" s="27">
        <f t="shared" si="14"/>
        <v>0</v>
      </c>
      <c r="P13" s="71"/>
      <c r="Q13" s="27">
        <f t="shared" si="15"/>
        <v>0</v>
      </c>
      <c r="R13" s="71"/>
      <c r="S13" s="27">
        <f t="shared" si="16"/>
        <v>0</v>
      </c>
      <c r="T13" s="71"/>
      <c r="U13" s="27">
        <f t="shared" si="17"/>
        <v>0</v>
      </c>
      <c r="V13" s="69"/>
      <c r="W13" s="39">
        <f t="shared" si="18"/>
        <v>0</v>
      </c>
      <c r="Z13" s="15" t="s">
        <v>115</v>
      </c>
      <c r="AA13" s="124" t="s">
        <v>168</v>
      </c>
      <c r="AB13" s="16"/>
      <c r="AC13" s="16" t="s">
        <v>169</v>
      </c>
      <c r="AD13" s="18"/>
      <c r="AE13" s="16" t="s">
        <v>170</v>
      </c>
      <c r="AF13" s="18" t="s">
        <v>171</v>
      </c>
      <c r="AG13" s="14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>
        <v>860</v>
      </c>
      <c r="BE13" s="61" t="str">
        <f>'Verification of Boxes'!J18</f>
        <v>PALMER</v>
      </c>
      <c r="BF13" s="64">
        <v>34</v>
      </c>
      <c r="BG13" s="100">
        <f t="shared" si="0"/>
        <v>0.68</v>
      </c>
      <c r="BH13" s="150"/>
      <c r="BI13" s="5">
        <f t="shared" si="1"/>
        <v>0</v>
      </c>
      <c r="BJ13" s="5">
        <f t="shared" si="2"/>
        <v>0</v>
      </c>
      <c r="BM13" s="3"/>
      <c r="BN13" s="5">
        <f t="shared" si="11"/>
        <v>0</v>
      </c>
      <c r="BO13" s="7">
        <f t="shared" si="3"/>
        <v>707.32999999999993</v>
      </c>
      <c r="BP13" s="66"/>
      <c r="BR13" s="9" t="str">
        <f>'Verification of Boxes'!J15</f>
        <v>KENNEDY</v>
      </c>
      <c r="BS13" s="182"/>
      <c r="BT13" s="5">
        <f t="shared" si="4"/>
        <v>0</v>
      </c>
      <c r="BU13" s="182"/>
      <c r="BV13" s="5">
        <f t="shared" si="5"/>
        <v>0</v>
      </c>
      <c r="BW13" s="182"/>
      <c r="BX13" s="5">
        <f t="shared" si="6"/>
        <v>0</v>
      </c>
      <c r="BY13" s="182"/>
      <c r="BZ13" s="5">
        <f t="shared" si="7"/>
        <v>0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0</v>
      </c>
    </row>
    <row r="14" spans="1:105" ht="15" customHeight="1" thickBot="1" x14ac:dyDescent="0.3">
      <c r="A14" s="20" t="str">
        <f>IF('Stage 4'!A14&lt;&gt;0,'Stage 4'!A14,IF(M14&gt;=$M$3,"Elected",IF(BP11&lt;&gt;0,"Excluded",0)))</f>
        <v>Elected</v>
      </c>
      <c r="B14" s="235">
        <f>'Stage 4'!B14</f>
        <v>3</v>
      </c>
      <c r="C14" s="119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>'Stage 3'!H14</f>
        <v>0</v>
      </c>
      <c r="I14" s="135">
        <f>'Stage 3'!I14</f>
        <v>1089.5999999999999</v>
      </c>
      <c r="J14" s="71">
        <f>'Stage 4'!J14</f>
        <v>0</v>
      </c>
      <c r="K14" s="135">
        <f>'Stage 4'!K14</f>
        <v>1089.5999999999999</v>
      </c>
      <c r="L14" s="71">
        <f t="shared" si="12"/>
        <v>-18.599999999999909</v>
      </c>
      <c r="M14" s="27">
        <f t="shared" si="13"/>
        <v>1071</v>
      </c>
      <c r="N14" s="71"/>
      <c r="O14" s="27">
        <f t="shared" si="14"/>
        <v>0</v>
      </c>
      <c r="P14" s="71"/>
      <c r="Q14" s="27">
        <f t="shared" si="15"/>
        <v>0</v>
      </c>
      <c r="R14" s="71"/>
      <c r="S14" s="27">
        <f t="shared" si="16"/>
        <v>0</v>
      </c>
      <c r="T14" s="71"/>
      <c r="U14" s="27">
        <f t="shared" si="17"/>
        <v>0</v>
      </c>
      <c r="V14" s="69"/>
      <c r="W14" s="39">
        <f t="shared" si="18"/>
        <v>0</v>
      </c>
      <c r="Z14" s="92" t="str">
        <f>'Verification of Boxes'!J10</f>
        <v>EWING</v>
      </c>
      <c r="AA14" s="93">
        <f>K11</f>
        <v>1071</v>
      </c>
      <c r="AB14" s="88"/>
      <c r="AC14" s="99">
        <f t="shared" ref="AC14:AC33" si="19">IF(AA14&gt;0,AA14-AG$4,0)</f>
        <v>0</v>
      </c>
      <c r="AD14" s="123"/>
      <c r="AE14" s="88" t="str">
        <f>IF(Z14=0,0,IF(AA14&gt;=AG$4,"elected",IF(AA14=0,"excluded","continuing")))</f>
        <v>elected</v>
      </c>
      <c r="AF14" s="88">
        <f t="shared" ref="AF14:AF33" si="20">IF(AE14="elected",AC14,0)</f>
        <v>0</v>
      </c>
      <c r="AG14" s="94">
        <f t="shared" ref="AG14:AG33" si="21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>
        <v>0.06</v>
      </c>
      <c r="BE14" s="61" t="str">
        <f>'Verification of Boxes'!J19</f>
        <v>PORTER</v>
      </c>
      <c r="BF14" s="64">
        <v>717</v>
      </c>
      <c r="BG14" s="100">
        <f t="shared" si="0"/>
        <v>14.34</v>
      </c>
      <c r="BH14" s="150"/>
      <c r="BI14" s="5">
        <f t="shared" si="1"/>
        <v>0</v>
      </c>
      <c r="BJ14" s="5">
        <f t="shared" si="2"/>
        <v>0</v>
      </c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4'!A15&lt;&gt;0,'Stage 4'!A15,IF(M15&gt;=$M$3,"Elected",IF(BP12&lt;&gt;0,"Excluded",0)))</f>
        <v>Elected</v>
      </c>
      <c r="B15" s="235">
        <f>'Stage 4'!B15</f>
        <v>2</v>
      </c>
      <c r="C15" s="119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>'Stage 3'!H15</f>
        <v>0</v>
      </c>
      <c r="I15" s="135">
        <f>'Stage 3'!I15</f>
        <v>1111</v>
      </c>
      <c r="J15" s="71">
        <f>'Stage 4'!J15</f>
        <v>-40</v>
      </c>
      <c r="K15" s="135">
        <f>'Stage 4'!K15</f>
        <v>1071</v>
      </c>
      <c r="L15" s="71">
        <f t="shared" si="12"/>
        <v>0</v>
      </c>
      <c r="M15" s="27">
        <f t="shared" si="13"/>
        <v>1071</v>
      </c>
      <c r="N15" s="71"/>
      <c r="O15" s="27">
        <f t="shared" si="14"/>
        <v>0</v>
      </c>
      <c r="P15" s="71"/>
      <c r="Q15" s="27">
        <f t="shared" si="15"/>
        <v>0</v>
      </c>
      <c r="R15" s="71"/>
      <c r="S15" s="27">
        <f t="shared" si="16"/>
        <v>0</v>
      </c>
      <c r="T15" s="71"/>
      <c r="U15" s="27">
        <f t="shared" si="17"/>
        <v>0</v>
      </c>
      <c r="V15" s="69"/>
      <c r="W15" s="39">
        <f t="shared" si="18"/>
        <v>0</v>
      </c>
      <c r="Z15" s="95" t="str">
        <f>'Verification of Boxes'!J11</f>
        <v>FLYNN</v>
      </c>
      <c r="AA15" s="37">
        <f>K12</f>
        <v>494.90000000000003</v>
      </c>
      <c r="AB15" s="5"/>
      <c r="AC15" s="100">
        <f t="shared" si="19"/>
        <v>-576.09999999999991</v>
      </c>
      <c r="AD15" s="110"/>
      <c r="AE15" s="5" t="str">
        <f t="shared" ref="AE15:AE33" si="22">IF(Z15=0,0,IF(AA15&gt;=AG$4,"elected",IF(AA15=0,"excluded","continuing")))</f>
        <v>continuing</v>
      </c>
      <c r="AF15" s="5">
        <f t="shared" si="20"/>
        <v>0</v>
      </c>
      <c r="AG15" s="96">
        <f t="shared" si="21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M15" s="3"/>
      <c r="BN15" s="5">
        <f t="shared" si="11"/>
        <v>0</v>
      </c>
      <c r="BO15" s="7">
        <f t="shared" si="3"/>
        <v>963.58</v>
      </c>
      <c r="BP15" s="66"/>
      <c r="BR15" s="9" t="str">
        <f>'Verification of Boxes'!J17</f>
        <v>MITCHELL</v>
      </c>
      <c r="BS15" s="64"/>
      <c r="BT15" s="5">
        <f t="shared" si="4"/>
        <v>0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0</v>
      </c>
    </row>
    <row r="16" spans="1:105" ht="15" customHeight="1" thickBot="1" x14ac:dyDescent="0.3">
      <c r="A16" s="20">
        <f>IF('Stage 4'!A16&lt;&gt;0,'Stage 4'!A16,IF(M16&gt;=$M$3,"Elected",IF(BP13&lt;&gt;0,"Excluded",0)))</f>
        <v>0</v>
      </c>
      <c r="B16" s="235">
        <f>'Stage 4'!B16</f>
        <v>0</v>
      </c>
      <c r="C16" s="119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>'Stage 3'!H16</f>
        <v>3.06</v>
      </c>
      <c r="I16" s="135">
        <f>'Stage 3'!I16</f>
        <v>677.3</v>
      </c>
      <c r="J16" s="71">
        <f>'Stage 4'!J16</f>
        <v>30.029999999999998</v>
      </c>
      <c r="K16" s="135">
        <f>'Stage 4'!K16</f>
        <v>707.32999999999993</v>
      </c>
      <c r="L16" s="71">
        <f t="shared" si="12"/>
        <v>0.22</v>
      </c>
      <c r="M16" s="27">
        <f t="shared" si="13"/>
        <v>707.55</v>
      </c>
      <c r="N16" s="71"/>
      <c r="O16" s="27">
        <f t="shared" si="14"/>
        <v>0</v>
      </c>
      <c r="P16" s="71"/>
      <c r="Q16" s="27">
        <f t="shared" si="15"/>
        <v>0</v>
      </c>
      <c r="R16" s="71"/>
      <c r="S16" s="27">
        <f t="shared" si="16"/>
        <v>0</v>
      </c>
      <c r="T16" s="71"/>
      <c r="U16" s="27">
        <f t="shared" si="17"/>
        <v>0</v>
      </c>
      <c r="V16" s="69"/>
      <c r="W16" s="39">
        <f t="shared" si="18"/>
        <v>0</v>
      </c>
      <c r="Z16" s="95" t="str">
        <f>'Verification of Boxes'!J12</f>
        <v>FRENCH</v>
      </c>
      <c r="AA16" s="37">
        <f t="shared" ref="AA16:AA33" si="23">K13</f>
        <v>477.32</v>
      </c>
      <c r="AB16" s="5"/>
      <c r="AC16" s="100">
        <f t="shared" si="19"/>
        <v>-593.68000000000006</v>
      </c>
      <c r="AD16" s="110"/>
      <c r="AE16" s="5" t="str">
        <f t="shared" si="22"/>
        <v>continuing</v>
      </c>
      <c r="AF16" s="5">
        <f t="shared" si="20"/>
        <v>0</v>
      </c>
      <c r="AG16" s="96">
        <f t="shared" si="21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M16" s="3"/>
      <c r="BN16" s="5">
        <f t="shared" si="11"/>
        <v>0</v>
      </c>
      <c r="BO16" s="7">
        <f t="shared" si="3"/>
        <v>693.59</v>
      </c>
      <c r="BP16" s="66"/>
      <c r="BR16" s="9" t="str">
        <f>'Verification of Boxes'!J18</f>
        <v>PALMER</v>
      </c>
      <c r="BS16" s="64"/>
      <c r="BT16" s="5">
        <f t="shared" si="4"/>
        <v>0</v>
      </c>
      <c r="BU16" s="64"/>
      <c r="BV16" s="5">
        <f t="shared" si="5"/>
        <v>0</v>
      </c>
      <c r="BW16" s="64"/>
      <c r="BX16" s="5">
        <f t="shared" si="6"/>
        <v>0</v>
      </c>
      <c r="BY16" s="64"/>
      <c r="BZ16" s="5">
        <f t="shared" si="7"/>
        <v>0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0</v>
      </c>
    </row>
    <row r="17" spans="1:83" ht="15" customHeight="1" thickBot="1" x14ac:dyDescent="0.3">
      <c r="A17" s="20" t="str">
        <f>IF('Stage 4'!A17&lt;&gt;0,'Stage 4'!A17,IF(M17&gt;=$M$3,"Elected",IF(BP14&lt;&gt;0,"Excluded",0)))</f>
        <v>Excluded</v>
      </c>
      <c r="B17" s="235">
        <f>'Stage 4'!B17</f>
        <v>0</v>
      </c>
      <c r="C17" s="119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>'Stage 3'!H17</f>
        <v>-388.44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 t="shared" si="12"/>
        <v>0</v>
      </c>
      <c r="M17" s="27">
        <f t="shared" si="13"/>
        <v>0</v>
      </c>
      <c r="N17" s="71"/>
      <c r="O17" s="27">
        <f t="shared" si="14"/>
        <v>0</v>
      </c>
      <c r="P17" s="71"/>
      <c r="Q17" s="27">
        <f t="shared" si="15"/>
        <v>0</v>
      </c>
      <c r="R17" s="71"/>
      <c r="S17" s="27">
        <f t="shared" si="16"/>
        <v>0</v>
      </c>
      <c r="T17" s="71"/>
      <c r="U17" s="27">
        <f t="shared" si="17"/>
        <v>0</v>
      </c>
      <c r="V17" s="69"/>
      <c r="W17" s="39">
        <f t="shared" si="18"/>
        <v>0</v>
      </c>
      <c r="Z17" s="95" t="str">
        <f>'Verification of Boxes'!J13</f>
        <v>GIVAN</v>
      </c>
      <c r="AA17" s="37">
        <f t="shared" si="23"/>
        <v>1089.5999999999999</v>
      </c>
      <c r="AB17" s="5"/>
      <c r="AC17" s="100">
        <f t="shared" si="19"/>
        <v>18.599999999999909</v>
      </c>
      <c r="AD17" s="110"/>
      <c r="AE17" s="5" t="str">
        <f t="shared" si="22"/>
        <v>elected</v>
      </c>
      <c r="AF17" s="5">
        <f t="shared" si="20"/>
        <v>18.599999999999909</v>
      </c>
      <c r="AG17" s="96" t="str">
        <f t="shared" si="21"/>
        <v>transfer largest surplus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M17" s="3"/>
      <c r="BN17" s="5">
        <f t="shared" si="11"/>
        <v>0</v>
      </c>
      <c r="BO17" s="7">
        <f t="shared" si="3"/>
        <v>900.81</v>
      </c>
      <c r="BP17" s="66"/>
      <c r="BR17" s="9" t="str">
        <f>'Verification of Boxes'!J19</f>
        <v>PORTER</v>
      </c>
      <c r="BS17" s="64"/>
      <c r="BT17" s="5">
        <f t="shared" si="4"/>
        <v>0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0</v>
      </c>
    </row>
    <row r="18" spans="1:83" ht="15" customHeight="1" thickBot="1" x14ac:dyDescent="0.3">
      <c r="A18" s="20">
        <f>IF('Stage 4'!A18&lt;&gt;0,'Stage 4'!A18,IF(M18&gt;=$M$3,"Elected",IF(BP15&lt;&gt;0,"Excluded",0)))</f>
        <v>0</v>
      </c>
      <c r="B18" s="235">
        <f>'Stage 4'!B18</f>
        <v>0</v>
      </c>
      <c r="C18" s="119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>'Stage 3'!H18</f>
        <v>91.42</v>
      </c>
      <c r="I18" s="135">
        <f>'Stage 3'!I18</f>
        <v>962.86</v>
      </c>
      <c r="J18" s="71">
        <f>'Stage 4'!J18</f>
        <v>0.72</v>
      </c>
      <c r="K18" s="135">
        <f>'Stage 4'!K18</f>
        <v>963.58</v>
      </c>
      <c r="L18" s="71">
        <f t="shared" si="12"/>
        <v>1.54</v>
      </c>
      <c r="M18" s="27">
        <f t="shared" si="13"/>
        <v>965.12</v>
      </c>
      <c r="N18" s="71"/>
      <c r="O18" s="27">
        <f t="shared" si="14"/>
        <v>0</v>
      </c>
      <c r="P18" s="71"/>
      <c r="Q18" s="27">
        <f t="shared" si="15"/>
        <v>0</v>
      </c>
      <c r="R18" s="71"/>
      <c r="S18" s="27">
        <f t="shared" si="16"/>
        <v>0</v>
      </c>
      <c r="T18" s="71"/>
      <c r="U18" s="27">
        <f t="shared" si="17"/>
        <v>0</v>
      </c>
      <c r="V18" s="69"/>
      <c r="W18" s="39">
        <f t="shared" si="18"/>
        <v>0</v>
      </c>
      <c r="Z18" s="95" t="str">
        <f>'Verification of Boxes'!J14</f>
        <v>GREHAN</v>
      </c>
      <c r="AA18" s="37">
        <f t="shared" si="23"/>
        <v>1071</v>
      </c>
      <c r="AB18" s="5"/>
      <c r="AC18" s="100">
        <f t="shared" si="19"/>
        <v>0</v>
      </c>
      <c r="AD18" s="110"/>
      <c r="AE18" s="5" t="str">
        <f t="shared" si="22"/>
        <v>elected</v>
      </c>
      <c r="AF18" s="5">
        <f t="shared" si="20"/>
        <v>0</v>
      </c>
      <c r="AG18" s="96">
        <f t="shared" si="21"/>
        <v>0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842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>IF('Stage 4'!A19&lt;&gt;0,'Stage 4'!A19,IF(M19&gt;=$M$3,"Elected",IF(BP16&lt;&gt;0,"Excluded",0)))</f>
        <v>0</v>
      </c>
      <c r="B19" s="235">
        <f>'Stage 4'!B19</f>
        <v>0</v>
      </c>
      <c r="C19" s="119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>'Stage 3'!H19</f>
        <v>64.48</v>
      </c>
      <c r="I19" s="135">
        <f>'Stage 3'!I19</f>
        <v>692.9</v>
      </c>
      <c r="J19" s="71">
        <f>'Stage 4'!J19</f>
        <v>0.69</v>
      </c>
      <c r="K19" s="135">
        <f>'Stage 4'!K19</f>
        <v>693.59</v>
      </c>
      <c r="L19" s="71">
        <f t="shared" si="12"/>
        <v>0.68</v>
      </c>
      <c r="M19" s="27">
        <f t="shared" si="13"/>
        <v>694.27</v>
      </c>
      <c r="N19" s="71"/>
      <c r="O19" s="27">
        <f t="shared" si="14"/>
        <v>0</v>
      </c>
      <c r="P19" s="71"/>
      <c r="Q19" s="27">
        <f t="shared" si="15"/>
        <v>0</v>
      </c>
      <c r="R19" s="71"/>
      <c r="S19" s="27">
        <f t="shared" si="16"/>
        <v>0</v>
      </c>
      <c r="T19" s="71"/>
      <c r="U19" s="27">
        <f t="shared" si="17"/>
        <v>0</v>
      </c>
      <c r="V19" s="69"/>
      <c r="W19" s="39">
        <f t="shared" si="18"/>
        <v>0</v>
      </c>
      <c r="Z19" s="95" t="str">
        <f>'Verification of Boxes'!J15</f>
        <v>KENNEDY</v>
      </c>
      <c r="AA19" s="37">
        <f t="shared" si="23"/>
        <v>707.32999999999993</v>
      </c>
      <c r="AB19" s="5"/>
      <c r="AC19" s="100">
        <f t="shared" si="19"/>
        <v>-363.67000000000007</v>
      </c>
      <c r="AD19" s="110"/>
      <c r="AE19" s="5" t="str">
        <f t="shared" si="22"/>
        <v>continuing</v>
      </c>
      <c r="AF19" s="5">
        <f t="shared" si="20"/>
        <v>0</v>
      </c>
      <c r="AG19" s="96">
        <f t="shared" si="21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50.519999999999996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4'!A20&lt;&gt;0,'Stage 4'!A20,IF(M20&gt;=$M$3,"Elected",IF(BP17&lt;&gt;0,"Excluded",0)))</f>
        <v>0</v>
      </c>
      <c r="B20" s="235">
        <f>'Stage 4'!B20</f>
        <v>0</v>
      </c>
      <c r="C20" s="119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>'Stage 3'!H20</f>
        <v>204.42</v>
      </c>
      <c r="I20" s="135">
        <f>'Stage 3'!I20</f>
        <v>900.42</v>
      </c>
      <c r="J20" s="71">
        <f>'Stage 4'!J20</f>
        <v>0.39</v>
      </c>
      <c r="K20" s="135">
        <f>'Stage 4'!K20</f>
        <v>900.81</v>
      </c>
      <c r="L20" s="71">
        <f t="shared" si="12"/>
        <v>14.34</v>
      </c>
      <c r="M20" s="27">
        <f t="shared" si="13"/>
        <v>915.15</v>
      </c>
      <c r="N20" s="71"/>
      <c r="O20" s="27">
        <f t="shared" si="14"/>
        <v>0</v>
      </c>
      <c r="P20" s="71"/>
      <c r="Q20" s="27">
        <f t="shared" si="15"/>
        <v>0</v>
      </c>
      <c r="R20" s="71"/>
      <c r="S20" s="27">
        <f t="shared" si="16"/>
        <v>0</v>
      </c>
      <c r="T20" s="71"/>
      <c r="U20" s="27">
        <f t="shared" si="17"/>
        <v>0</v>
      </c>
      <c r="V20" s="69"/>
      <c r="W20" s="39">
        <f t="shared" si="18"/>
        <v>0</v>
      </c>
      <c r="Z20" s="95" t="str">
        <f>'Verification of Boxes'!J16</f>
        <v>MCEVOY</v>
      </c>
      <c r="AA20" s="37">
        <f t="shared" si="23"/>
        <v>0</v>
      </c>
      <c r="AB20" s="5"/>
      <c r="AC20" s="100">
        <f t="shared" si="19"/>
        <v>0</v>
      </c>
      <c r="AD20" s="110"/>
      <c r="AE20" s="5" t="str">
        <f t="shared" si="22"/>
        <v>excluded</v>
      </c>
      <c r="AF20" s="5">
        <f t="shared" si="20"/>
        <v>0</v>
      </c>
      <c r="AG20" s="96">
        <f t="shared" si="21"/>
        <v>0</v>
      </c>
      <c r="AJ20" s="339" t="s">
        <v>184</v>
      </c>
      <c r="AK20" s="340"/>
      <c r="AL20" s="142">
        <f>AL46</f>
        <v>477.32</v>
      </c>
      <c r="AM20" s="118"/>
      <c r="AN20" s="142">
        <f>AL20+AG2</f>
        <v>495.9199999999999</v>
      </c>
      <c r="AO20" s="334">
        <f>IF(AN20&gt;AG4,0,IF(AN20&lt;AL21,"Exclude lowest candidate",0))</f>
        <v>0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4'!A21&lt;&gt;0,'Stage 4'!A21,IF(M21&gt;=$M$3,"Elected",IF(BP18&lt;&gt;0,"Excluded",0)))</f>
        <v>0</v>
      </c>
      <c r="B21" s="235">
        <f>'Stage 4'!B21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 t="shared" si="12"/>
        <v>0</v>
      </c>
      <c r="M21" s="27">
        <f t="shared" si="13"/>
        <v>0</v>
      </c>
      <c r="N21" s="71"/>
      <c r="O21" s="27">
        <f t="shared" si="14"/>
        <v>0</v>
      </c>
      <c r="P21" s="71"/>
      <c r="Q21" s="27">
        <f t="shared" si="15"/>
        <v>0</v>
      </c>
      <c r="R21" s="71"/>
      <c r="S21" s="27">
        <f t="shared" si="16"/>
        <v>0</v>
      </c>
      <c r="T21" s="71"/>
      <c r="U21" s="27">
        <f t="shared" si="17"/>
        <v>0</v>
      </c>
      <c r="V21" s="69"/>
      <c r="W21" s="39">
        <f t="shared" si="18"/>
        <v>0</v>
      </c>
      <c r="Z21" s="95" t="str">
        <f>'Verification of Boxes'!J17</f>
        <v>MITCHELL</v>
      </c>
      <c r="AA21" s="37">
        <f t="shared" si="23"/>
        <v>963.58</v>
      </c>
      <c r="AB21" s="5"/>
      <c r="AC21" s="100">
        <f t="shared" si="19"/>
        <v>-107.41999999999996</v>
      </c>
      <c r="AD21" s="110"/>
      <c r="AE21" s="5" t="str">
        <f t="shared" si="22"/>
        <v>continuing</v>
      </c>
      <c r="AF21" s="5">
        <f t="shared" si="20"/>
        <v>0</v>
      </c>
      <c r="AG21" s="96">
        <f t="shared" si="21"/>
        <v>0</v>
      </c>
      <c r="AJ21" s="341" t="s">
        <v>185</v>
      </c>
      <c r="AK21" s="293"/>
      <c r="AL21" s="37">
        <f>IF(AL20=1000000,0,AN46)</f>
        <v>494.90000000000003</v>
      </c>
      <c r="AM21" s="5">
        <f>AL21-AL20</f>
        <v>17.580000000000041</v>
      </c>
      <c r="AN21" s="5">
        <f>IF(AL21=1000000,0,IF(AN20=0,0,AN20+AL21))</f>
        <v>990.81999999999994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4'!A22&lt;&gt;0,'Stage 4'!A22,IF(M22&gt;=$M$3,"Elected",IF(BP19&lt;&gt;0,"Excluded",0)))</f>
        <v>0</v>
      </c>
      <c r="B22" s="235">
        <f>'Stage 4'!B22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 t="shared" si="12"/>
        <v>0</v>
      </c>
      <c r="M22" s="27">
        <f t="shared" si="13"/>
        <v>0</v>
      </c>
      <c r="N22" s="71"/>
      <c r="O22" s="27">
        <f t="shared" si="14"/>
        <v>0</v>
      </c>
      <c r="P22" s="71"/>
      <c r="Q22" s="27">
        <f t="shared" si="15"/>
        <v>0</v>
      </c>
      <c r="R22" s="71"/>
      <c r="S22" s="27">
        <f t="shared" si="16"/>
        <v>0</v>
      </c>
      <c r="T22" s="71"/>
      <c r="U22" s="27">
        <f t="shared" si="17"/>
        <v>0</v>
      </c>
      <c r="V22" s="69"/>
      <c r="W22" s="39">
        <f t="shared" si="18"/>
        <v>0</v>
      </c>
      <c r="Z22" s="95" t="str">
        <f>'Verification of Boxes'!J18</f>
        <v>PALMER</v>
      </c>
      <c r="AA22" s="37">
        <f t="shared" si="23"/>
        <v>693.59</v>
      </c>
      <c r="AB22" s="5"/>
      <c r="AC22" s="100">
        <f t="shared" si="19"/>
        <v>-377.40999999999997</v>
      </c>
      <c r="AD22" s="110"/>
      <c r="AE22" s="5" t="str">
        <f t="shared" si="22"/>
        <v>continuing</v>
      </c>
      <c r="AF22" s="5">
        <f t="shared" si="20"/>
        <v>0</v>
      </c>
      <c r="AG22" s="96">
        <f t="shared" si="21"/>
        <v>0</v>
      </c>
      <c r="AJ22" s="341" t="s">
        <v>185</v>
      </c>
      <c r="AK22" s="293"/>
      <c r="AL22" s="37">
        <f>IF(AL21=1000000,0,AP46)</f>
        <v>693.59</v>
      </c>
      <c r="AM22" s="5">
        <f>IF(AL22=1000000,0,IF(AM21=0,0,AL22-AL21))</f>
        <v>198.69</v>
      </c>
      <c r="AN22" s="5">
        <f>IF(AL22=1000000,0,IF(AN21=0,0,AN21+AL22))</f>
        <v>1684.4099999999999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4'!A23&lt;&gt;0,'Stage 4'!A23,IF(M23&gt;=$M$3,"Elected",IF(BP20&lt;&gt;0,"Excluded",0)))</f>
        <v>0</v>
      </c>
      <c r="B23" s="235">
        <f>'Stage 4'!B23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 t="shared" si="12"/>
        <v>0</v>
      </c>
      <c r="M23" s="27">
        <f t="shared" si="13"/>
        <v>0</v>
      </c>
      <c r="N23" s="71"/>
      <c r="O23" s="27">
        <f t="shared" si="14"/>
        <v>0</v>
      </c>
      <c r="P23" s="71"/>
      <c r="Q23" s="27">
        <f t="shared" si="15"/>
        <v>0</v>
      </c>
      <c r="R23" s="71"/>
      <c r="S23" s="27">
        <f t="shared" si="16"/>
        <v>0</v>
      </c>
      <c r="T23" s="71"/>
      <c r="U23" s="27">
        <f t="shared" si="17"/>
        <v>0</v>
      </c>
      <c r="V23" s="69"/>
      <c r="W23" s="39">
        <f t="shared" si="18"/>
        <v>0</v>
      </c>
      <c r="Z23" s="95" t="str">
        <f>'Verification of Boxes'!J19</f>
        <v>PORTER</v>
      </c>
      <c r="AA23" s="37">
        <f t="shared" si="23"/>
        <v>900.81</v>
      </c>
      <c r="AB23" s="5"/>
      <c r="AC23" s="100">
        <f t="shared" si="19"/>
        <v>-170.19000000000005</v>
      </c>
      <c r="AD23" s="110"/>
      <c r="AE23" s="5" t="str">
        <f t="shared" si="22"/>
        <v>continuing</v>
      </c>
      <c r="AF23" s="5">
        <f t="shared" si="20"/>
        <v>0</v>
      </c>
      <c r="AG23" s="96">
        <f t="shared" si="21"/>
        <v>0</v>
      </c>
      <c r="AJ23" s="341" t="s">
        <v>185</v>
      </c>
      <c r="AK23" s="293"/>
      <c r="AL23" s="37">
        <f>IF(AL22=1000000,0,AR46)</f>
        <v>707.32999999999993</v>
      </c>
      <c r="AM23" s="5">
        <f>IF(AL23=1000000,0,IF(AM22=0,0,AL23-AL22))</f>
        <v>13.739999999999895</v>
      </c>
      <c r="AN23" s="5">
        <f>IF(AL23=1000000,0,IF(AN22=0,0,AN22+AL23))</f>
        <v>2391.7399999999998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0.02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4'!A24&lt;&gt;0,'Stage 4'!A24,IF(M24&gt;=$M$3,"Elected",IF(BP21&lt;&gt;0,"Excluded",0)))</f>
        <v>0</v>
      </c>
      <c r="B24" s="235">
        <f>'Stage 4'!B24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 t="shared" si="12"/>
        <v>0</v>
      </c>
      <c r="M24" s="27">
        <f t="shared" si="13"/>
        <v>0</v>
      </c>
      <c r="N24" s="71"/>
      <c r="O24" s="27">
        <f t="shared" si="14"/>
        <v>0</v>
      </c>
      <c r="P24" s="71"/>
      <c r="Q24" s="27">
        <f t="shared" si="15"/>
        <v>0</v>
      </c>
      <c r="R24" s="71"/>
      <c r="S24" s="27">
        <f t="shared" si="16"/>
        <v>0</v>
      </c>
      <c r="T24" s="71"/>
      <c r="U24" s="27">
        <f t="shared" si="17"/>
        <v>0</v>
      </c>
      <c r="V24" s="69"/>
      <c r="W24" s="39">
        <f t="shared" si="18"/>
        <v>0</v>
      </c>
      <c r="Z24" s="95">
        <f>'Verification of Boxes'!J20</f>
        <v>0</v>
      </c>
      <c r="AA24" s="37">
        <f t="shared" si="23"/>
        <v>0</v>
      </c>
      <c r="AB24" s="5"/>
      <c r="AC24" s="100">
        <f t="shared" si="19"/>
        <v>0</v>
      </c>
      <c r="AD24" s="110"/>
      <c r="AE24" s="5">
        <f t="shared" si="22"/>
        <v>0</v>
      </c>
      <c r="AF24" s="5">
        <f t="shared" si="20"/>
        <v>0</v>
      </c>
      <c r="AG24" s="96">
        <f t="shared" si="21"/>
        <v>0</v>
      </c>
      <c r="AJ24" s="341" t="s">
        <v>185</v>
      </c>
      <c r="AK24" s="293"/>
      <c r="AL24" s="37">
        <f>IF(AR46=1000000,0,AU46)</f>
        <v>900.81</v>
      </c>
      <c r="AM24" s="5">
        <f>IF(AL24=1000000,0,IF(AM23=0,0,AL24-AL23))</f>
        <v>193.48000000000002</v>
      </c>
      <c r="AN24" s="5">
        <f>IF(AL24=1000000,0,IF(AN23=0,0,AN23+AL24))</f>
        <v>3292.5499999999997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189</v>
      </c>
      <c r="BA24" s="3" t="s">
        <v>190</v>
      </c>
      <c r="BB24" s="3"/>
      <c r="BC24" s="50">
        <f>IF(BC19&gt;BC12,BC18*BC23,0)</f>
        <v>16.84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4'!A25&lt;&gt;0,'Stage 4'!A25,IF(M25&gt;=$M$3,"Elected",IF(BP22&lt;&gt;0,"Excluded",0)))</f>
        <v>0</v>
      </c>
      <c r="B25" s="235">
        <f>'Stage 4'!B25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 t="shared" si="12"/>
        <v>0</v>
      </c>
      <c r="M25" s="27">
        <f t="shared" si="13"/>
        <v>0</v>
      </c>
      <c r="N25" s="71"/>
      <c r="O25" s="27">
        <f t="shared" si="14"/>
        <v>0</v>
      </c>
      <c r="P25" s="71"/>
      <c r="Q25" s="27">
        <f t="shared" si="15"/>
        <v>0</v>
      </c>
      <c r="R25" s="71"/>
      <c r="S25" s="27">
        <f t="shared" si="16"/>
        <v>0</v>
      </c>
      <c r="T25" s="71"/>
      <c r="U25" s="27">
        <f t="shared" si="17"/>
        <v>0</v>
      </c>
      <c r="V25" s="69"/>
      <c r="W25" s="39">
        <f t="shared" si="18"/>
        <v>0</v>
      </c>
      <c r="Z25" s="95">
        <f>'Verification of Boxes'!J21</f>
        <v>0</v>
      </c>
      <c r="AA25" s="37">
        <f t="shared" si="23"/>
        <v>0</v>
      </c>
      <c r="AB25" s="5"/>
      <c r="AC25" s="100">
        <f t="shared" si="19"/>
        <v>0</v>
      </c>
      <c r="AD25" s="110"/>
      <c r="AE25" s="5">
        <f t="shared" si="22"/>
        <v>0</v>
      </c>
      <c r="AF25" s="5">
        <f t="shared" si="20"/>
        <v>0</v>
      </c>
      <c r="AG25" s="96">
        <f t="shared" si="21"/>
        <v>0</v>
      </c>
      <c r="AJ25" s="355" t="s">
        <v>185</v>
      </c>
      <c r="AK25" s="356"/>
      <c r="AL25" s="89">
        <f>IF(AL24=1000000,0,AW46)</f>
        <v>963.58</v>
      </c>
      <c r="AM25" s="90">
        <f>IF(AL25=1000000,0,IF(AM24=0,0,AL25-AL24))</f>
        <v>62.770000000000095</v>
      </c>
      <c r="AN25" s="90">
        <f>IF(AL25=1000000,0,IF(AN24=0,0,AN24+AL25))</f>
        <v>4256.13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1.7599999999999092</v>
      </c>
      <c r="BE25" s="61" t="s">
        <v>193</v>
      </c>
      <c r="BF25" s="5">
        <f>SUM(BF5:BF24)</f>
        <v>842</v>
      </c>
      <c r="BG25" s="100">
        <f>SUM(BG5:BG24)</f>
        <v>16.84</v>
      </c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4'!A26&lt;&gt;0,'Stage 4'!A26,IF(M26&gt;=$M$3,"Elected",IF(BP23&lt;&gt;0,"Excluded",0)))</f>
        <v>0</v>
      </c>
      <c r="B26" s="235">
        <f>'Stage 4'!B26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 t="shared" si="12"/>
        <v>0</v>
      </c>
      <c r="M26" s="27">
        <f t="shared" si="13"/>
        <v>0</v>
      </c>
      <c r="N26" s="71"/>
      <c r="O26" s="27">
        <f t="shared" si="14"/>
        <v>0</v>
      </c>
      <c r="P26" s="71"/>
      <c r="Q26" s="27">
        <f t="shared" si="15"/>
        <v>0</v>
      </c>
      <c r="R26" s="71"/>
      <c r="S26" s="27">
        <f t="shared" si="16"/>
        <v>0</v>
      </c>
      <c r="T26" s="71"/>
      <c r="U26" s="27">
        <f t="shared" si="17"/>
        <v>0</v>
      </c>
      <c r="V26" s="69"/>
      <c r="W26" s="39">
        <f t="shared" si="18"/>
        <v>0</v>
      </c>
      <c r="Z26" s="95">
        <f>'Verification of Boxes'!J22</f>
        <v>0</v>
      </c>
      <c r="AA26" s="37">
        <f t="shared" si="23"/>
        <v>0</v>
      </c>
      <c r="AB26" s="5"/>
      <c r="AC26" s="100">
        <f t="shared" si="19"/>
        <v>0</v>
      </c>
      <c r="AD26" s="110"/>
      <c r="AE26" s="5">
        <f t="shared" si="22"/>
        <v>0</v>
      </c>
      <c r="AF26" s="5">
        <f t="shared" si="20"/>
        <v>0</v>
      </c>
      <c r="AG26" s="96">
        <f t="shared" si="21"/>
        <v>0</v>
      </c>
      <c r="AT26" s="118"/>
      <c r="AU26" s="118"/>
      <c r="AV26" s="118">
        <f>SUM(AV27:AV32)</f>
        <v>0</v>
      </c>
      <c r="AW26" s="118"/>
      <c r="BA26" s="3"/>
      <c r="BB26" s="3"/>
      <c r="BC26" s="2"/>
      <c r="BE26" s="61" t="s">
        <v>194</v>
      </c>
      <c r="BF26" s="64">
        <v>18</v>
      </c>
      <c r="BG26" s="100">
        <f>IF(AT5="T",BC25+BC31,0)</f>
        <v>1.7599999999999092</v>
      </c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4'!A27&lt;&gt;0,'Stage 4'!A27,IF(M27&gt;=$M$3,"Elected",IF(BP24&lt;&gt;0,"Excluded",0)))</f>
        <v>0</v>
      </c>
      <c r="B27" s="235">
        <f>'Stage 4'!B27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 t="shared" si="12"/>
        <v>0</v>
      </c>
      <c r="M27" s="27">
        <f t="shared" si="13"/>
        <v>0</v>
      </c>
      <c r="N27" s="71"/>
      <c r="O27" s="27">
        <f t="shared" si="14"/>
        <v>0</v>
      </c>
      <c r="P27" s="71"/>
      <c r="Q27" s="27">
        <f t="shared" si="15"/>
        <v>0</v>
      </c>
      <c r="R27" s="71"/>
      <c r="S27" s="27">
        <f t="shared" si="16"/>
        <v>0</v>
      </c>
      <c r="T27" s="71"/>
      <c r="U27" s="27">
        <f t="shared" si="17"/>
        <v>0</v>
      </c>
      <c r="V27" s="69"/>
      <c r="W27" s="39">
        <f t="shared" si="18"/>
        <v>0</v>
      </c>
      <c r="Z27" s="95">
        <f>'Verification of Boxes'!J23</f>
        <v>0</v>
      </c>
      <c r="AA27" s="37">
        <f t="shared" si="23"/>
        <v>0</v>
      </c>
      <c r="AB27" s="5"/>
      <c r="AC27" s="100">
        <f t="shared" si="19"/>
        <v>0</v>
      </c>
      <c r="AD27" s="110"/>
      <c r="AE27" s="5">
        <f t="shared" si="22"/>
        <v>0</v>
      </c>
      <c r="AF27" s="5">
        <f t="shared" si="20"/>
        <v>0</v>
      </c>
      <c r="AG27" s="96">
        <f t="shared" si="21"/>
        <v>0</v>
      </c>
      <c r="AJ27" s="98"/>
      <c r="AK27" s="98"/>
      <c r="AT27" s="5">
        <f>AW27</f>
        <v>0</v>
      </c>
      <c r="AU27" s="5">
        <f t="shared" ref="AU27:AU32" si="24">IF(AO20&lt;&gt;0,1,0)</f>
        <v>0</v>
      </c>
      <c r="AV27" s="5">
        <f>AU27</f>
        <v>0</v>
      </c>
      <c r="AW27" s="5">
        <f t="shared" ref="AW27:AW32" si="25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860</v>
      </c>
      <c r="BG27" s="101">
        <f>SUM(BG25:BG26)</f>
        <v>18.599999999999909</v>
      </c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4'!A28&lt;&gt;0,'Stage 4'!A28,IF(M28&gt;=$M$3,"Elected",IF(BP25&lt;&gt;0,"Excluded",0)))</f>
        <v>0</v>
      </c>
      <c r="B28" s="235">
        <f>'Stage 4'!B28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 t="shared" si="12"/>
        <v>0</v>
      </c>
      <c r="M28" s="27">
        <f t="shared" si="13"/>
        <v>0</v>
      </c>
      <c r="N28" s="71"/>
      <c r="O28" s="27">
        <f t="shared" si="14"/>
        <v>0</v>
      </c>
      <c r="P28" s="71"/>
      <c r="Q28" s="27">
        <f t="shared" si="15"/>
        <v>0</v>
      </c>
      <c r="R28" s="71"/>
      <c r="S28" s="27">
        <f t="shared" si="16"/>
        <v>0</v>
      </c>
      <c r="T28" s="71"/>
      <c r="U28" s="27">
        <f t="shared" si="17"/>
        <v>0</v>
      </c>
      <c r="V28" s="69"/>
      <c r="W28" s="39">
        <f t="shared" si="18"/>
        <v>0</v>
      </c>
      <c r="Z28" s="95">
        <f>'Verification of Boxes'!J24</f>
        <v>0</v>
      </c>
      <c r="AA28" s="37">
        <f t="shared" si="23"/>
        <v>0</v>
      </c>
      <c r="AB28" s="5"/>
      <c r="AC28" s="100">
        <f t="shared" si="19"/>
        <v>0</v>
      </c>
      <c r="AD28" s="110"/>
      <c r="AE28" s="5">
        <f t="shared" si="22"/>
        <v>0</v>
      </c>
      <c r="AF28" s="5">
        <f t="shared" si="20"/>
        <v>0</v>
      </c>
      <c r="AG28" s="96">
        <f t="shared" si="21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0</v>
      </c>
      <c r="AU28" s="5">
        <f t="shared" si="24"/>
        <v>0</v>
      </c>
      <c r="AV28" s="5">
        <f>AV27+AU28</f>
        <v>0</v>
      </c>
      <c r="AW28" s="5">
        <f t="shared" si="25"/>
        <v>0</v>
      </c>
      <c r="BA28" s="3"/>
      <c r="BB28" s="3"/>
      <c r="BC28" s="2"/>
      <c r="BR28" s="19" t="s">
        <v>123</v>
      </c>
      <c r="BS28" s="63"/>
      <c r="BT28" s="119">
        <f t="shared" si="4"/>
        <v>0</v>
      </c>
      <c r="BU28" s="63"/>
      <c r="BV28" s="119">
        <f t="shared" si="5"/>
        <v>0</v>
      </c>
      <c r="BW28" s="63"/>
      <c r="BX28" s="119">
        <f t="shared" si="6"/>
        <v>0</v>
      </c>
      <c r="BY28" s="63"/>
      <c r="BZ28" s="119">
        <f t="shared" si="7"/>
        <v>0</v>
      </c>
      <c r="CA28" s="63"/>
      <c r="CB28" s="119">
        <f t="shared" si="8"/>
        <v>0</v>
      </c>
      <c r="CC28" s="63"/>
      <c r="CD28" s="110">
        <f t="shared" si="9"/>
        <v>0</v>
      </c>
      <c r="CE28" s="5">
        <f t="shared" si="10"/>
        <v>0</v>
      </c>
    </row>
    <row r="29" spans="1:83" ht="13.5" thickBot="1" x14ac:dyDescent="0.35">
      <c r="A29" s="20">
        <f>IF('Stage 4'!A29&lt;&gt;0,'Stage 4'!A29,IF(M29&gt;=$M$3,"Elected",IF(BP26&lt;&gt;0,"Excluded",0)))</f>
        <v>0</v>
      </c>
      <c r="B29" s="235">
        <f>'Stage 4'!B29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 t="shared" si="12"/>
        <v>0</v>
      </c>
      <c r="M29" s="27">
        <f t="shared" si="13"/>
        <v>0</v>
      </c>
      <c r="N29" s="71"/>
      <c r="O29" s="27">
        <f t="shared" si="14"/>
        <v>0</v>
      </c>
      <c r="P29" s="71"/>
      <c r="Q29" s="27">
        <f t="shared" si="15"/>
        <v>0</v>
      </c>
      <c r="R29" s="71"/>
      <c r="S29" s="27">
        <f t="shared" si="16"/>
        <v>0</v>
      </c>
      <c r="T29" s="71"/>
      <c r="U29" s="27">
        <f t="shared" si="17"/>
        <v>0</v>
      </c>
      <c r="V29" s="69"/>
      <c r="W29" s="39">
        <f t="shared" si="18"/>
        <v>0</v>
      </c>
      <c r="Z29" s="95">
        <f>'Verification of Boxes'!J25</f>
        <v>0</v>
      </c>
      <c r="AA29" s="37">
        <f t="shared" si="23"/>
        <v>0</v>
      </c>
      <c r="AB29" s="5"/>
      <c r="AC29" s="100">
        <f t="shared" si="19"/>
        <v>0</v>
      </c>
      <c r="AD29" s="110"/>
      <c r="AE29" s="5">
        <f t="shared" si="22"/>
        <v>0</v>
      </c>
      <c r="AF29" s="5">
        <f t="shared" si="20"/>
        <v>0</v>
      </c>
      <c r="AG29" s="96">
        <f t="shared" si="21"/>
        <v>0</v>
      </c>
      <c r="AL29" s="330"/>
      <c r="AM29" s="331"/>
      <c r="AN29" s="331"/>
      <c r="AO29" s="331"/>
      <c r="AP29" s="331"/>
      <c r="AQ29" s="332"/>
      <c r="AT29" s="5">
        <f>AT28+AW29</f>
        <v>0</v>
      </c>
      <c r="AU29" s="5">
        <f t="shared" si="24"/>
        <v>0</v>
      </c>
      <c r="AV29" s="5">
        <f>AV28+AU29</f>
        <v>0</v>
      </c>
      <c r="AW29" s="5">
        <f t="shared" si="25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860</v>
      </c>
      <c r="BR29" s="5" t="s">
        <v>200</v>
      </c>
      <c r="BS29" s="118">
        <f>SUM(BS8:BS28)</f>
        <v>0</v>
      </c>
      <c r="BT29" s="5">
        <f t="shared" si="4"/>
        <v>0</v>
      </c>
      <c r="BU29" s="118">
        <f>SUM(BU8:BU28)</f>
        <v>0</v>
      </c>
      <c r="BV29" s="5">
        <f t="shared" si="5"/>
        <v>0</v>
      </c>
      <c r="BW29" s="118">
        <f>SUM(BW8:BW28)</f>
        <v>0</v>
      </c>
      <c r="BX29" s="5">
        <f t="shared" si="6"/>
        <v>0</v>
      </c>
      <c r="BY29" s="118">
        <f>SUM(BY8:BY28)</f>
        <v>0</v>
      </c>
      <c r="BZ29" s="5">
        <f t="shared" si="7"/>
        <v>0</v>
      </c>
      <c r="CA29" s="118">
        <f>SUM(CA8:CA28)</f>
        <v>0</v>
      </c>
      <c r="CB29" s="5">
        <f t="shared" si="8"/>
        <v>0</v>
      </c>
      <c r="CC29" s="118">
        <f>SUM(CC8:CC28)</f>
        <v>0</v>
      </c>
      <c r="CD29" s="5">
        <f t="shared" si="9"/>
        <v>0</v>
      </c>
      <c r="CE29" s="5">
        <f>SUM(CE8:CE28)</f>
        <v>0</v>
      </c>
    </row>
    <row r="30" spans="1:83" ht="14.25" customHeight="1" thickBot="1" x14ac:dyDescent="0.3">
      <c r="A30" s="21">
        <f>IF('Stage 4'!A30&lt;&gt;0,'Stage 4'!A30,IF(M30&gt;=$M$3,"Elected",IF(BP27&lt;&gt;0,"Excluded",0)))</f>
        <v>0</v>
      </c>
      <c r="B30" s="235">
        <f>'Stage 4'!B30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 t="shared" si="12"/>
        <v>0</v>
      </c>
      <c r="M30" s="27">
        <f t="shared" si="13"/>
        <v>0</v>
      </c>
      <c r="N30" s="71"/>
      <c r="O30" s="27">
        <f t="shared" si="14"/>
        <v>0</v>
      </c>
      <c r="P30" s="71"/>
      <c r="Q30" s="27">
        <f t="shared" si="15"/>
        <v>0</v>
      </c>
      <c r="R30" s="71"/>
      <c r="S30" s="27">
        <f t="shared" si="16"/>
        <v>0</v>
      </c>
      <c r="T30" s="71"/>
      <c r="U30" s="27">
        <f t="shared" si="17"/>
        <v>0</v>
      </c>
      <c r="V30" s="69"/>
      <c r="W30" s="39">
        <f t="shared" si="18"/>
        <v>0</v>
      </c>
      <c r="Z30" s="95">
        <f>'Verification of Boxes'!J26</f>
        <v>0</v>
      </c>
      <c r="AA30" s="37">
        <f t="shared" si="23"/>
        <v>0</v>
      </c>
      <c r="AB30" s="5"/>
      <c r="AC30" s="100">
        <f t="shared" si="19"/>
        <v>0</v>
      </c>
      <c r="AD30" s="110"/>
      <c r="AE30" s="5">
        <f t="shared" si="22"/>
        <v>0</v>
      </c>
      <c r="AF30" s="5">
        <f t="shared" si="20"/>
        <v>0</v>
      </c>
      <c r="AG30" s="96">
        <f t="shared" si="21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4"/>
        <v>0</v>
      </c>
      <c r="AV30" s="5">
        <f>AV29+AU30</f>
        <v>0</v>
      </c>
      <c r="AW30" s="5">
        <f t="shared" si="25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240</v>
      </c>
      <c r="BJ30" s="328"/>
      <c r="BK30" s="329"/>
      <c r="BX30" s="333" t="str">
        <f>IF(BW31=BW69,"Calculations OK","Check Count for Error")</f>
        <v>Calculations OK</v>
      </c>
      <c r="BY30" s="333"/>
    </row>
    <row r="31" spans="1:83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1">
        <f>'Stage 3'!H31</f>
        <v>20.059999999999999</v>
      </c>
      <c r="I31" s="135">
        <f>'Stage 3'!I31</f>
        <v>20.079999999999995</v>
      </c>
      <c r="J31" s="71">
        <f>'Stage 4'!J31</f>
        <v>6.7899999999999991</v>
      </c>
      <c r="K31" s="135">
        <f>'Stage 4'!K31</f>
        <v>26.869999999999994</v>
      </c>
      <c r="L31" s="71">
        <f>$BK69</f>
        <v>1.7599999999999092</v>
      </c>
      <c r="M31" s="40">
        <f t="shared" si="13"/>
        <v>28.629999999999903</v>
      </c>
      <c r="N31" s="72"/>
      <c r="O31" s="40">
        <f t="shared" si="14"/>
        <v>0</v>
      </c>
      <c r="P31" s="72"/>
      <c r="Q31" s="40">
        <f t="shared" si="15"/>
        <v>0</v>
      </c>
      <c r="R31" s="72"/>
      <c r="S31" s="40">
        <f t="shared" si="16"/>
        <v>0</v>
      </c>
      <c r="T31" s="72"/>
      <c r="U31" s="40">
        <f t="shared" si="17"/>
        <v>0</v>
      </c>
      <c r="V31" s="70"/>
      <c r="W31" s="41">
        <f t="shared" si="18"/>
        <v>0</v>
      </c>
      <c r="Z31" s="95">
        <f>'Verification of Boxes'!J27</f>
        <v>0</v>
      </c>
      <c r="AA31" s="37">
        <f t="shared" si="23"/>
        <v>0</v>
      </c>
      <c r="AB31" s="5"/>
      <c r="AC31" s="100">
        <f t="shared" si="19"/>
        <v>0</v>
      </c>
      <c r="AD31" s="110"/>
      <c r="AE31" s="5">
        <f t="shared" si="22"/>
        <v>0</v>
      </c>
      <c r="AF31" s="5">
        <f t="shared" si="20"/>
        <v>0</v>
      </c>
      <c r="AG31" s="96">
        <f t="shared" si="21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0</v>
      </c>
      <c r="AU31" s="5">
        <f t="shared" si="24"/>
        <v>0</v>
      </c>
      <c r="AV31" s="5">
        <f>AV30+AU31</f>
        <v>0</v>
      </c>
      <c r="AW31" s="5">
        <f t="shared" si="25"/>
        <v>0</v>
      </c>
      <c r="AZ31" t="s">
        <v>203</v>
      </c>
      <c r="BA31" s="3" t="s">
        <v>204</v>
      </c>
      <c r="BB31" s="3"/>
      <c r="BC31" s="50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V31" t="s">
        <v>119</v>
      </c>
      <c r="BW31" s="5">
        <f>BT29+BV29+BX29+BZ29+CB29+CD29</f>
        <v>0</v>
      </c>
      <c r="BX31" s="311"/>
      <c r="BY31" s="311"/>
      <c r="BZ31" s="5">
        <f>BW69-BW31</f>
        <v>0</v>
      </c>
      <c r="CB31" s="327" t="s">
        <v>240</v>
      </c>
      <c r="CC31" s="328"/>
      <c r="CD31" s="328"/>
      <c r="CE31" s="32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1"/>
      <c r="I32" s="135">
        <f>'Stage 3'!I32</f>
        <v>7496</v>
      </c>
      <c r="J32" s="192"/>
      <c r="K32" s="49">
        <f>SUM(K11:K31)</f>
        <v>7495.9999999999991</v>
      </c>
      <c r="L32" s="192"/>
      <c r="M32" s="49">
        <f>SUM(M11:M31)</f>
        <v>7495.9999999999991</v>
      </c>
      <c r="N32" s="192"/>
      <c r="O32" s="49">
        <f>SUM(O11:O31)</f>
        <v>0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3"/>
        <v>0</v>
      </c>
      <c r="AB32" s="5"/>
      <c r="AC32" s="100">
        <f t="shared" si="19"/>
        <v>0</v>
      </c>
      <c r="AD32" s="110"/>
      <c r="AE32" s="5">
        <f t="shared" si="22"/>
        <v>0</v>
      </c>
      <c r="AF32" s="5">
        <f t="shared" si="20"/>
        <v>0</v>
      </c>
      <c r="AG32" s="96">
        <f t="shared" si="21"/>
        <v>0</v>
      </c>
      <c r="AL32" s="330"/>
      <c r="AM32" s="331"/>
      <c r="AN32" s="331"/>
      <c r="AO32" s="331"/>
      <c r="AP32" s="331"/>
      <c r="AQ32" s="332"/>
      <c r="AT32" s="5">
        <f>AT31+AW32</f>
        <v>0</v>
      </c>
      <c r="AU32" s="5">
        <f t="shared" si="24"/>
        <v>0</v>
      </c>
      <c r="AV32" s="5">
        <f>AV31+AU32</f>
        <v>0</v>
      </c>
      <c r="AW32" s="5">
        <f t="shared" si="25"/>
        <v>0</v>
      </c>
      <c r="BF32" s="311"/>
      <c r="BG32" s="311"/>
      <c r="BX32" s="311"/>
      <c r="BY32" s="311"/>
      <c r="CB32" s="330"/>
      <c r="CC32" s="331"/>
      <c r="CD32" s="331"/>
      <c r="CE32" s="332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Z33" s="97">
        <f>'Verification of Boxes'!J29</f>
        <v>0</v>
      </c>
      <c r="AA33" s="89">
        <f t="shared" si="23"/>
        <v>0</v>
      </c>
      <c r="AB33" s="90"/>
      <c r="AC33" s="101">
        <f t="shared" si="19"/>
        <v>0</v>
      </c>
      <c r="AD33" s="147"/>
      <c r="AE33" s="90">
        <f t="shared" si="22"/>
        <v>0</v>
      </c>
      <c r="AF33" s="90">
        <f t="shared" si="20"/>
        <v>0</v>
      </c>
      <c r="AG33" s="148">
        <f t="shared" si="21"/>
        <v>0</v>
      </c>
    </row>
    <row r="34" spans="4:75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5">
        <f>'Stage 3'!I34</f>
        <v>0</v>
      </c>
      <c r="J34" s="219"/>
      <c r="K34" s="185">
        <f>'Stage 4'!K34</f>
        <v>0</v>
      </c>
      <c r="L34" s="219"/>
      <c r="M34" s="183"/>
      <c r="N34" s="219"/>
      <c r="O34" s="219"/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</row>
    <row r="36" spans="4:75" x14ac:dyDescent="0.25">
      <c r="D36" s="25"/>
      <c r="E36" s="2"/>
      <c r="G36" s="2"/>
      <c r="I36" s="2"/>
      <c r="K36" s="2"/>
    </row>
    <row r="38" spans="4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6">AL39+AK40</f>
        <v>0</v>
      </c>
      <c r="AM40" s="5">
        <f t="shared" si="26"/>
        <v>0</v>
      </c>
      <c r="AN40" s="5">
        <f t="shared" si="26"/>
        <v>0</v>
      </c>
      <c r="AO40" s="5">
        <f t="shared" si="26"/>
        <v>0</v>
      </c>
      <c r="AP40" s="5">
        <f t="shared" si="26"/>
        <v>0</v>
      </c>
      <c r="AQ40" s="5">
        <f t="shared" si="26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7">IF(AK40=AL40,1,0)</f>
        <v>1</v>
      </c>
      <c r="AM41" s="5">
        <f t="shared" si="27"/>
        <v>1</v>
      </c>
      <c r="AN41" s="5">
        <f t="shared" si="27"/>
        <v>1</v>
      </c>
      <c r="AO41" s="5">
        <f t="shared" si="27"/>
        <v>1</v>
      </c>
      <c r="AP41" s="5">
        <f t="shared" si="27"/>
        <v>1</v>
      </c>
      <c r="AQ41" s="5">
        <f t="shared" si="27"/>
        <v>1</v>
      </c>
    </row>
    <row r="42" spans="4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28">IF(AM40=AL38,"add",0)</f>
        <v>0</v>
      </c>
      <c r="AM42" s="5">
        <f t="shared" si="28"/>
        <v>0</v>
      </c>
      <c r="AN42" s="5">
        <f t="shared" si="28"/>
        <v>0</v>
      </c>
      <c r="AO42" s="5">
        <f t="shared" si="28"/>
        <v>0</v>
      </c>
      <c r="AP42" s="5">
        <f t="shared" si="28"/>
        <v>0</v>
      </c>
      <c r="AQ42" s="5">
        <f t="shared" si="28"/>
        <v>0</v>
      </c>
    </row>
    <row r="43" spans="4:75" ht="12.75" customHeight="1" x14ac:dyDescent="0.25">
      <c r="Z43" s="250"/>
      <c r="AA43" s="250"/>
      <c r="AB43" s="250"/>
      <c r="AC43" s="250">
        <f>AG2</f>
        <v>18.599999999999909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FRENCH</v>
      </c>
      <c r="AA44" s="250">
        <v>477.32</v>
      </c>
      <c r="AB44" s="250">
        <v>477.32</v>
      </c>
      <c r="AC44" s="250">
        <f>AC43+AA44</f>
        <v>495.9199999999999</v>
      </c>
      <c r="AD44" s="250"/>
      <c r="AE44" s="252">
        <f>IF(AC44&gt;$AG$4,0,IF(AC44&lt;AA45,"Exclude this candidate",0))</f>
        <v>0</v>
      </c>
      <c r="AF44" s="250"/>
      <c r="AG44" s="250"/>
      <c r="AL44" s="5"/>
      <c r="AM44" s="5"/>
      <c r="AN44" s="5"/>
      <c r="AO44" s="5"/>
      <c r="AP44" s="5"/>
      <c r="AQ44" s="5"/>
    </row>
    <row r="45" spans="4:75" ht="18" customHeight="1" x14ac:dyDescent="0.35">
      <c r="Z45" s="253" t="str">
        <v>FLYNN</v>
      </c>
      <c r="AA45" s="250">
        <v>494.90000000000003</v>
      </c>
      <c r="AB45" s="250">
        <v>494.90000000000003</v>
      </c>
      <c r="AC45" s="250">
        <f>AC44+AA45</f>
        <v>990.81999999999994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4:75" x14ac:dyDescent="0.25">
      <c r="Z46" s="253" t="str">
        <v>PALMER</v>
      </c>
      <c r="AA46" s="250">
        <v>693.59</v>
      </c>
      <c r="AB46" s="250">
        <v>693.59</v>
      </c>
      <c r="AC46" s="250">
        <f t="shared" ref="AC46:AC63" si="29">AC45+AA46</f>
        <v>1684.4099999999999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477.32</v>
      </c>
      <c r="AN46" s="2">
        <f>AN47+AL46</f>
        <v>494.90000000000003</v>
      </c>
      <c r="AP46" s="2">
        <f>AP47+AN46</f>
        <v>693.59</v>
      </c>
      <c r="AR46" s="2">
        <f>AR47+AP46</f>
        <v>707.32999999999993</v>
      </c>
      <c r="AS46" s="2"/>
      <c r="AU46" s="2">
        <f>AU47+AR46</f>
        <v>900.81</v>
      </c>
      <c r="AW46" s="2">
        <f>AW47+AU46</f>
        <v>963.58</v>
      </c>
      <c r="AX46" s="2"/>
      <c r="BG46" t="s">
        <v>212</v>
      </c>
    </row>
    <row r="47" spans="4:75" x14ac:dyDescent="0.25">
      <c r="Z47" s="253" t="str">
        <v>KENNEDY</v>
      </c>
      <c r="AA47" s="250">
        <v>707.32999999999993</v>
      </c>
      <c r="AB47" s="250">
        <v>707.32999999999993</v>
      </c>
      <c r="AC47" s="250">
        <f t="shared" si="29"/>
        <v>2391.7399999999998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477.32</v>
      </c>
      <c r="AN47" s="2">
        <f>MIN(AN48:AN67)</f>
        <v>17.580000000000041</v>
      </c>
      <c r="AP47" s="2">
        <f>MIN(AP48:AP67)</f>
        <v>198.69</v>
      </c>
      <c r="AR47" s="2">
        <f>MIN(AR48:AR67)</f>
        <v>13.739999999999895</v>
      </c>
      <c r="AS47" s="2"/>
      <c r="AU47" s="2">
        <f>MIN(AU48:AU67)</f>
        <v>193.48000000000002</v>
      </c>
      <c r="AW47" s="2">
        <f>MIN(AW48:AW67)</f>
        <v>62.770000000000095</v>
      </c>
      <c r="AX47" s="2"/>
    </row>
    <row r="48" spans="4:75" ht="37.5" x14ac:dyDescent="0.25">
      <c r="Z48" s="253" t="str">
        <v>PORTER</v>
      </c>
      <c r="AA48" s="250">
        <v>900.81</v>
      </c>
      <c r="AB48" s="250">
        <v>900.81</v>
      </c>
      <c r="AC48" s="250">
        <f t="shared" si="29"/>
        <v>3292.5499999999997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30">Z14</f>
        <v>EWING</v>
      </c>
      <c r="AK48" s="2">
        <f t="shared" si="30"/>
        <v>1071</v>
      </c>
      <c r="AL48">
        <f>IF(AK48&lt;&gt;0,AK48,1000000)</f>
        <v>1071</v>
      </c>
      <c r="AM48" s="2">
        <f t="shared" ref="AM48:AM67" si="31">AL48-AL$47</f>
        <v>593.68000000000006</v>
      </c>
      <c r="AN48">
        <f>IF(AM48&lt;&gt;0,AM48,1000000)</f>
        <v>593.68000000000006</v>
      </c>
      <c r="AO48" s="2">
        <f t="shared" ref="AO48:AO67" si="32">AN48-AN$47</f>
        <v>576.1</v>
      </c>
      <c r="AP48">
        <f t="shared" ref="AP48:AP67" si="33">IF(AO48&lt;&gt;0,AO48,1000000)</f>
        <v>576.1</v>
      </c>
      <c r="AQ48" s="2">
        <f t="shared" ref="AQ48:AQ67" si="34">AP48-AP$47</f>
        <v>377.41</v>
      </c>
      <c r="AR48">
        <f t="shared" ref="AR48:AR67" si="35">IF(AQ48&lt;&gt;0,AQ48,1000000)</f>
        <v>377.41</v>
      </c>
      <c r="AT48" s="2">
        <f t="shared" ref="AT48:AT67" si="36">AR48-AR$47</f>
        <v>363.67000000000013</v>
      </c>
      <c r="AU48">
        <f t="shared" ref="AU48:AU67" si="37">IF(AT48&lt;&gt;0,AT48,1000000)</f>
        <v>363.67000000000013</v>
      </c>
      <c r="AV48" s="2">
        <f t="shared" ref="AV48:AV67" si="38">AU48-AU$47</f>
        <v>170.19000000000011</v>
      </c>
      <c r="AW48">
        <f t="shared" ref="AW48:AW67" si="39">IF(AV48&lt;&gt;0,AV48,1000000)</f>
        <v>170.19000000000011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W48" t="s">
        <v>218</v>
      </c>
    </row>
    <row r="49" spans="26:75" x14ac:dyDescent="0.25">
      <c r="Z49" s="253" t="str">
        <v>MITCHELL</v>
      </c>
      <c r="AA49" s="250">
        <v>963.58</v>
      </c>
      <c r="AB49" s="250">
        <v>963.58</v>
      </c>
      <c r="AC49" s="250">
        <f t="shared" si="29"/>
        <v>4256.13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30"/>
        <v>FLYNN</v>
      </c>
      <c r="AK49" s="2">
        <f t="shared" si="30"/>
        <v>494.90000000000003</v>
      </c>
      <c r="AL49">
        <f t="shared" ref="AL49:AL67" si="40">IF(AK49&lt;&gt;0,AK49,1000000)</f>
        <v>494.90000000000003</v>
      </c>
      <c r="AM49" s="2">
        <f t="shared" si="31"/>
        <v>17.580000000000041</v>
      </c>
      <c r="AN49">
        <f t="shared" ref="AN49:AN67" si="41">IF(AM49&lt;&gt;0,AM49,1000000)</f>
        <v>17.580000000000041</v>
      </c>
      <c r="AO49" s="2">
        <f t="shared" si="32"/>
        <v>0</v>
      </c>
      <c r="AP49">
        <f t="shared" si="33"/>
        <v>1000000</v>
      </c>
      <c r="AQ49" s="2">
        <f t="shared" si="34"/>
        <v>999801.31</v>
      </c>
      <c r="AR49">
        <f t="shared" si="35"/>
        <v>999801.31</v>
      </c>
      <c r="AT49" s="2">
        <f t="shared" si="36"/>
        <v>999787.57000000007</v>
      </c>
      <c r="AU49">
        <f t="shared" si="37"/>
        <v>999787.57000000007</v>
      </c>
      <c r="AV49" s="2">
        <f t="shared" si="38"/>
        <v>999594.09000000008</v>
      </c>
      <c r="AW49">
        <f t="shared" si="39"/>
        <v>999594.09000000008</v>
      </c>
      <c r="BE49" s="5" t="str">
        <f>IF($BH5="y",$BE5,IF($BH6="y",$BE6,IF($BH7="y",$BE7,IF($BH8="y",$BE8,IF($BH9="y",$BE9,IF($BH10="y",$BE10,0))))))</f>
        <v>GIVAN</v>
      </c>
      <c r="BG49" s="125" t="str">
        <f t="shared" ref="BG49:BG68" si="42">BE5</f>
        <v>EWING</v>
      </c>
      <c r="BH49" s="126"/>
      <c r="BI49" s="5">
        <f t="shared" ref="BI49:BI68" si="43">IF(BE5=0,0,IF(BE5=BA$8,-BC$12,0))</f>
        <v>0</v>
      </c>
      <c r="BJ49" s="5">
        <f t="shared" ref="BJ49:BJ68" si="44">BN49</f>
        <v>0</v>
      </c>
      <c r="BK49" s="5">
        <f t="shared" ref="BK49:BK68" si="45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EWING</v>
      </c>
      <c r="AA50" s="250">
        <v>1071</v>
      </c>
      <c r="AB50" s="250">
        <v>1071</v>
      </c>
      <c r="AC50" s="250">
        <f t="shared" si="29"/>
        <v>5327.13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30"/>
        <v>FRENCH</v>
      </c>
      <c r="AK50" s="2">
        <f t="shared" si="30"/>
        <v>477.32</v>
      </c>
      <c r="AL50">
        <f t="shared" si="40"/>
        <v>477.32</v>
      </c>
      <c r="AM50" s="2">
        <f t="shared" si="31"/>
        <v>0</v>
      </c>
      <c r="AN50">
        <f t="shared" si="41"/>
        <v>1000000</v>
      </c>
      <c r="AO50" s="2">
        <f t="shared" si="32"/>
        <v>999982.42</v>
      </c>
      <c r="AP50">
        <f t="shared" si="33"/>
        <v>999982.42</v>
      </c>
      <c r="AQ50" s="2">
        <f t="shared" si="34"/>
        <v>999783.7300000001</v>
      </c>
      <c r="AR50">
        <f t="shared" si="35"/>
        <v>999783.7300000001</v>
      </c>
      <c r="AT50" s="2">
        <f t="shared" si="36"/>
        <v>999769.99000000011</v>
      </c>
      <c r="AU50">
        <f t="shared" si="37"/>
        <v>999769.99000000011</v>
      </c>
      <c r="AV50" s="2">
        <f t="shared" si="38"/>
        <v>999576.51000000013</v>
      </c>
      <c r="AW50">
        <f t="shared" si="39"/>
        <v>999576.51000000013</v>
      </c>
      <c r="BE50" s="5">
        <f>IF($BH11="y",$BE11,IF($BH12="y",$BE12,IF($BH13="y",$BE13,IF($BH14="y",$BE14,IF($BH15="y",$BE15,IF($BH16="y",$BE16,0))))))</f>
        <v>0</v>
      </c>
      <c r="BG50" s="127" t="str">
        <f t="shared" si="42"/>
        <v>FLYNN</v>
      </c>
      <c r="BH50" s="128"/>
      <c r="BI50" s="5">
        <f t="shared" si="43"/>
        <v>0</v>
      </c>
      <c r="BJ50" s="5">
        <f t="shared" si="44"/>
        <v>0</v>
      </c>
      <c r="BK50" s="5">
        <f t="shared" si="45"/>
        <v>0.04</v>
      </c>
      <c r="BN50" s="5">
        <f t="shared" ref="BN50:BN68" si="46">IF(BP9="y",-BO9,0)</f>
        <v>0</v>
      </c>
      <c r="BW50" s="5">
        <f t="shared" ref="BW50:BW68" si="47">IF(BP9="y",BO9,0)</f>
        <v>0</v>
      </c>
    </row>
    <row r="51" spans="26:75" ht="12.75" customHeight="1" x14ac:dyDescent="0.25">
      <c r="Z51" s="253" t="str">
        <v>GREHAN</v>
      </c>
      <c r="AA51" s="250">
        <v>1071</v>
      </c>
      <c r="AB51" s="250">
        <v>1071</v>
      </c>
      <c r="AC51" s="250">
        <f t="shared" si="29"/>
        <v>6398.13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30"/>
        <v>GIVAN</v>
      </c>
      <c r="AK51" s="2">
        <f t="shared" si="30"/>
        <v>1089.5999999999999</v>
      </c>
      <c r="AL51">
        <f t="shared" si="40"/>
        <v>1089.5999999999999</v>
      </c>
      <c r="AM51" s="2">
        <f t="shared" si="31"/>
        <v>612.28</v>
      </c>
      <c r="AN51">
        <f t="shared" si="41"/>
        <v>612.28</v>
      </c>
      <c r="AO51" s="2">
        <f t="shared" si="32"/>
        <v>594.69999999999993</v>
      </c>
      <c r="AP51">
        <f t="shared" si="33"/>
        <v>594.69999999999993</v>
      </c>
      <c r="AQ51" s="2">
        <f t="shared" si="34"/>
        <v>396.00999999999993</v>
      </c>
      <c r="AR51">
        <f t="shared" si="35"/>
        <v>396.00999999999993</v>
      </c>
      <c r="AT51" s="2">
        <f t="shared" si="36"/>
        <v>382.27000000000004</v>
      </c>
      <c r="AU51">
        <f t="shared" si="37"/>
        <v>382.27000000000004</v>
      </c>
      <c r="AV51" s="2">
        <f t="shared" si="38"/>
        <v>188.79000000000002</v>
      </c>
      <c r="AW51">
        <f t="shared" si="39"/>
        <v>188.79000000000002</v>
      </c>
      <c r="BE51" s="5">
        <f>IF($BH17="y",$BE17,IF($BH18="y",$BE18,IF($BH19="y",$BE19,IF($BH20="y",$BE20,IF($BH21="y",$BE21,IF($BH22="y",$BE22,0))))))</f>
        <v>0</v>
      </c>
      <c r="BG51" s="127" t="str">
        <f t="shared" si="42"/>
        <v>FRENCH</v>
      </c>
      <c r="BH51" s="128"/>
      <c r="BI51" s="5">
        <f t="shared" si="43"/>
        <v>0</v>
      </c>
      <c r="BJ51" s="5">
        <f t="shared" si="44"/>
        <v>0</v>
      </c>
      <c r="BK51" s="5">
        <f t="shared" si="45"/>
        <v>0.02</v>
      </c>
      <c r="BN51" s="5">
        <f t="shared" si="46"/>
        <v>0</v>
      </c>
      <c r="BW51" s="5">
        <f t="shared" si="47"/>
        <v>0</v>
      </c>
    </row>
    <row r="52" spans="26:75" x14ac:dyDescent="0.25">
      <c r="Z52" s="253" t="str">
        <v>GIVAN</v>
      </c>
      <c r="AA52" s="250">
        <v>1089.5999999999999</v>
      </c>
      <c r="AB52" s="250">
        <v>1089.5999999999999</v>
      </c>
      <c r="AC52" s="250">
        <f t="shared" si="29"/>
        <v>7487.73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30"/>
        <v>GREHAN</v>
      </c>
      <c r="AK52" s="2">
        <f t="shared" si="30"/>
        <v>1071</v>
      </c>
      <c r="AL52">
        <f t="shared" si="40"/>
        <v>1071</v>
      </c>
      <c r="AM52" s="2">
        <f t="shared" si="31"/>
        <v>593.68000000000006</v>
      </c>
      <c r="AN52">
        <f t="shared" si="41"/>
        <v>593.68000000000006</v>
      </c>
      <c r="AO52" s="2">
        <f t="shared" si="32"/>
        <v>576.1</v>
      </c>
      <c r="AP52">
        <f t="shared" si="33"/>
        <v>576.1</v>
      </c>
      <c r="AQ52" s="2">
        <f t="shared" si="34"/>
        <v>377.41</v>
      </c>
      <c r="AR52">
        <f t="shared" si="35"/>
        <v>377.41</v>
      </c>
      <c r="AT52" s="2">
        <f t="shared" si="36"/>
        <v>363.67000000000013</v>
      </c>
      <c r="AU52">
        <f t="shared" si="37"/>
        <v>363.67000000000013</v>
      </c>
      <c r="AV52" s="2">
        <f t="shared" si="38"/>
        <v>170.19000000000011</v>
      </c>
      <c r="AW52">
        <f t="shared" si="39"/>
        <v>170.19000000000011</v>
      </c>
      <c r="BE52" s="5">
        <f>IF($BH23="y",$BE23,IF($BH24="y",$BE24,0))</f>
        <v>0</v>
      </c>
      <c r="BG52" s="127" t="str">
        <f t="shared" si="42"/>
        <v>GIVAN</v>
      </c>
      <c r="BH52" s="128"/>
      <c r="BI52" s="5">
        <f t="shared" si="43"/>
        <v>-18.599999999999909</v>
      </c>
      <c r="BJ52" s="5">
        <f t="shared" si="44"/>
        <v>0</v>
      </c>
      <c r="BK52" s="5">
        <f t="shared" si="45"/>
        <v>-18.599999999999909</v>
      </c>
      <c r="BN52" s="5">
        <f t="shared" si="46"/>
        <v>0</v>
      </c>
      <c r="BW52" s="5">
        <f t="shared" si="47"/>
        <v>0</v>
      </c>
    </row>
    <row r="53" spans="26:75" x14ac:dyDescent="0.25">
      <c r="Z53" s="253" t="str">
        <v>MCEVOY</v>
      </c>
      <c r="AA53" s="250">
        <v>0</v>
      </c>
      <c r="AB53" s="250">
        <v>1000000</v>
      </c>
      <c r="AC53" s="250">
        <f t="shared" si="29"/>
        <v>7487.73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30"/>
        <v>KENNEDY</v>
      </c>
      <c r="AK53" s="2">
        <f t="shared" si="30"/>
        <v>707.32999999999993</v>
      </c>
      <c r="AL53">
        <f t="shared" si="40"/>
        <v>707.32999999999993</v>
      </c>
      <c r="AM53" s="2">
        <f t="shared" si="31"/>
        <v>230.00999999999993</v>
      </c>
      <c r="AN53">
        <f t="shared" si="41"/>
        <v>230.00999999999993</v>
      </c>
      <c r="AO53" s="2">
        <f t="shared" si="32"/>
        <v>212.42999999999989</v>
      </c>
      <c r="AP53">
        <f t="shared" si="33"/>
        <v>212.42999999999989</v>
      </c>
      <c r="AQ53" s="2">
        <f t="shared" si="34"/>
        <v>13.739999999999895</v>
      </c>
      <c r="AR53">
        <f t="shared" si="35"/>
        <v>13.739999999999895</v>
      </c>
      <c r="AT53" s="2">
        <f t="shared" si="36"/>
        <v>0</v>
      </c>
      <c r="AU53">
        <f t="shared" si="37"/>
        <v>1000000</v>
      </c>
      <c r="AV53" s="2">
        <f t="shared" si="38"/>
        <v>999806.52</v>
      </c>
      <c r="AW53">
        <f t="shared" si="39"/>
        <v>999806.52</v>
      </c>
      <c r="BG53" s="127" t="str">
        <f t="shared" si="42"/>
        <v>GREHAN</v>
      </c>
      <c r="BH53" s="128"/>
      <c r="BI53" s="5">
        <f t="shared" si="43"/>
        <v>0</v>
      </c>
      <c r="BJ53" s="5">
        <f t="shared" si="44"/>
        <v>0</v>
      </c>
      <c r="BK53" s="5">
        <f t="shared" si="45"/>
        <v>0</v>
      </c>
      <c r="BN53" s="5">
        <f t="shared" si="46"/>
        <v>0</v>
      </c>
      <c r="BW53" s="5">
        <f t="shared" si="47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9"/>
        <v>7487.73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30"/>
        <v>MCEVOY</v>
      </c>
      <c r="AK54" s="2">
        <f t="shared" si="30"/>
        <v>0</v>
      </c>
      <c r="AL54">
        <f t="shared" si="40"/>
        <v>1000000</v>
      </c>
      <c r="AM54" s="2">
        <f t="shared" si="31"/>
        <v>999522.68</v>
      </c>
      <c r="AN54">
        <f t="shared" si="41"/>
        <v>999522.68</v>
      </c>
      <c r="AO54" s="2">
        <f t="shared" si="32"/>
        <v>999505.10000000009</v>
      </c>
      <c r="AP54">
        <f t="shared" si="33"/>
        <v>999505.10000000009</v>
      </c>
      <c r="AQ54" s="2">
        <f t="shared" si="34"/>
        <v>999306.41000000015</v>
      </c>
      <c r="AR54">
        <f t="shared" si="35"/>
        <v>999306.41000000015</v>
      </c>
      <c r="AT54" s="2">
        <f t="shared" si="36"/>
        <v>999292.67000000016</v>
      </c>
      <c r="AU54">
        <f t="shared" si="37"/>
        <v>999292.67000000016</v>
      </c>
      <c r="AV54" s="2">
        <f t="shared" si="38"/>
        <v>999099.19000000018</v>
      </c>
      <c r="AW54">
        <f t="shared" si="39"/>
        <v>999099.19000000018</v>
      </c>
      <c r="BG54" s="127" t="str">
        <f t="shared" si="42"/>
        <v>KENNEDY</v>
      </c>
      <c r="BH54" s="128"/>
      <c r="BI54" s="5">
        <f t="shared" si="43"/>
        <v>0</v>
      </c>
      <c r="BJ54" s="5">
        <f t="shared" si="44"/>
        <v>0</v>
      </c>
      <c r="BK54" s="5">
        <f t="shared" si="45"/>
        <v>0.22</v>
      </c>
      <c r="BN54" s="5">
        <f t="shared" si="46"/>
        <v>0</v>
      </c>
      <c r="BW54" s="5">
        <f t="shared" si="47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9"/>
        <v>7487.73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30"/>
        <v>MITCHELL</v>
      </c>
      <c r="AK55" s="2">
        <f t="shared" si="30"/>
        <v>963.58</v>
      </c>
      <c r="AL55">
        <f t="shared" si="40"/>
        <v>963.58</v>
      </c>
      <c r="AM55" s="2">
        <f t="shared" si="31"/>
        <v>486.26000000000005</v>
      </c>
      <c r="AN55">
        <f t="shared" si="41"/>
        <v>486.26000000000005</v>
      </c>
      <c r="AO55" s="2">
        <f t="shared" si="32"/>
        <v>468.68</v>
      </c>
      <c r="AP55">
        <f t="shared" si="33"/>
        <v>468.68</v>
      </c>
      <c r="AQ55" s="2">
        <f t="shared" si="34"/>
        <v>269.99</v>
      </c>
      <c r="AR55">
        <f t="shared" si="35"/>
        <v>269.99</v>
      </c>
      <c r="AT55" s="2">
        <f t="shared" si="36"/>
        <v>256.25000000000011</v>
      </c>
      <c r="AU55">
        <f t="shared" si="37"/>
        <v>256.25000000000011</v>
      </c>
      <c r="AV55" s="2">
        <f t="shared" si="38"/>
        <v>62.770000000000095</v>
      </c>
      <c r="AW55">
        <f t="shared" si="39"/>
        <v>62.770000000000095</v>
      </c>
      <c r="BG55" s="127" t="str">
        <f t="shared" si="42"/>
        <v>MCEVOY</v>
      </c>
      <c r="BH55" s="128"/>
      <c r="BI55" s="5">
        <f t="shared" si="43"/>
        <v>0</v>
      </c>
      <c r="BJ55" s="5">
        <f t="shared" si="44"/>
        <v>0</v>
      </c>
      <c r="BK55" s="5">
        <f t="shared" si="45"/>
        <v>0</v>
      </c>
      <c r="BN55" s="5">
        <f t="shared" si="46"/>
        <v>0</v>
      </c>
      <c r="BW55" s="5">
        <f t="shared" si="47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9"/>
        <v>7487.73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30"/>
        <v>PALMER</v>
      </c>
      <c r="AK56" s="2">
        <f t="shared" si="30"/>
        <v>693.59</v>
      </c>
      <c r="AL56">
        <f t="shared" si="40"/>
        <v>693.59</v>
      </c>
      <c r="AM56" s="2">
        <f t="shared" si="31"/>
        <v>216.27000000000004</v>
      </c>
      <c r="AN56">
        <f t="shared" si="41"/>
        <v>216.27000000000004</v>
      </c>
      <c r="AO56" s="2">
        <f t="shared" si="32"/>
        <v>198.69</v>
      </c>
      <c r="AP56">
        <f t="shared" si="33"/>
        <v>198.69</v>
      </c>
      <c r="AQ56" s="2">
        <f t="shared" si="34"/>
        <v>0</v>
      </c>
      <c r="AR56">
        <f t="shared" si="35"/>
        <v>1000000</v>
      </c>
      <c r="AT56" s="2">
        <f t="shared" si="36"/>
        <v>999986.26</v>
      </c>
      <c r="AU56">
        <f t="shared" si="37"/>
        <v>999986.26</v>
      </c>
      <c r="AV56" s="2">
        <f t="shared" si="38"/>
        <v>999792.78</v>
      </c>
      <c r="AW56">
        <f t="shared" si="39"/>
        <v>999792.78</v>
      </c>
      <c r="BG56" s="127" t="str">
        <f t="shared" si="42"/>
        <v>MITCHELL</v>
      </c>
      <c r="BH56" s="128"/>
      <c r="BI56" s="5">
        <f t="shared" si="43"/>
        <v>0</v>
      </c>
      <c r="BJ56" s="5">
        <f t="shared" si="44"/>
        <v>0</v>
      </c>
      <c r="BK56" s="5">
        <f t="shared" si="45"/>
        <v>1.54</v>
      </c>
      <c r="BN56" s="5">
        <f t="shared" si="46"/>
        <v>0</v>
      </c>
      <c r="BW56" s="5">
        <f t="shared" si="47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9"/>
        <v>7487.73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30"/>
        <v>PORTER</v>
      </c>
      <c r="AK57" s="2">
        <f t="shared" si="30"/>
        <v>900.81</v>
      </c>
      <c r="AL57">
        <f t="shared" si="40"/>
        <v>900.81</v>
      </c>
      <c r="AM57" s="2">
        <f t="shared" si="31"/>
        <v>423.48999999999995</v>
      </c>
      <c r="AN57">
        <f t="shared" si="41"/>
        <v>423.48999999999995</v>
      </c>
      <c r="AO57" s="2">
        <f t="shared" si="32"/>
        <v>405.90999999999991</v>
      </c>
      <c r="AP57">
        <f t="shared" si="33"/>
        <v>405.90999999999991</v>
      </c>
      <c r="AQ57" s="2">
        <f t="shared" si="34"/>
        <v>207.21999999999991</v>
      </c>
      <c r="AR57">
        <f t="shared" si="35"/>
        <v>207.21999999999991</v>
      </c>
      <c r="AT57" s="2">
        <f t="shared" si="36"/>
        <v>193.48000000000002</v>
      </c>
      <c r="AU57">
        <f t="shared" si="37"/>
        <v>193.48000000000002</v>
      </c>
      <c r="AV57" s="2">
        <f t="shared" si="38"/>
        <v>0</v>
      </c>
      <c r="AW57">
        <f t="shared" si="39"/>
        <v>1000000</v>
      </c>
      <c r="BG57" s="127" t="str">
        <f t="shared" si="42"/>
        <v>PALMER</v>
      </c>
      <c r="BH57" s="128"/>
      <c r="BI57" s="5">
        <f t="shared" si="43"/>
        <v>0</v>
      </c>
      <c r="BJ57" s="5">
        <f t="shared" si="44"/>
        <v>0</v>
      </c>
      <c r="BK57" s="5">
        <f t="shared" si="45"/>
        <v>0.68</v>
      </c>
      <c r="BN57" s="5">
        <f t="shared" si="46"/>
        <v>0</v>
      </c>
      <c r="BW57" s="5">
        <f t="shared" si="47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9"/>
        <v>7487.73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30"/>
        <v>0</v>
      </c>
      <c r="AK58" s="2">
        <f t="shared" si="30"/>
        <v>0</v>
      </c>
      <c r="AL58">
        <f t="shared" si="40"/>
        <v>1000000</v>
      </c>
      <c r="AM58" s="2">
        <f t="shared" si="31"/>
        <v>999522.68</v>
      </c>
      <c r="AN58">
        <f t="shared" si="41"/>
        <v>999522.68</v>
      </c>
      <c r="AO58" s="2">
        <f t="shared" si="32"/>
        <v>999505.10000000009</v>
      </c>
      <c r="AP58">
        <f t="shared" si="33"/>
        <v>999505.10000000009</v>
      </c>
      <c r="AQ58" s="2">
        <f t="shared" si="34"/>
        <v>999306.41000000015</v>
      </c>
      <c r="AR58">
        <f t="shared" si="35"/>
        <v>999306.41000000015</v>
      </c>
      <c r="AT58" s="2">
        <f t="shared" si="36"/>
        <v>999292.67000000016</v>
      </c>
      <c r="AU58">
        <f t="shared" si="37"/>
        <v>999292.67000000016</v>
      </c>
      <c r="AV58" s="2">
        <f t="shared" si="38"/>
        <v>999099.19000000018</v>
      </c>
      <c r="AW58">
        <f t="shared" si="39"/>
        <v>999099.19000000018</v>
      </c>
      <c r="BG58" s="127" t="str">
        <f t="shared" si="42"/>
        <v>PORTER</v>
      </c>
      <c r="BH58" s="128"/>
      <c r="BI58" s="5">
        <f t="shared" si="43"/>
        <v>0</v>
      </c>
      <c r="BJ58" s="5">
        <f t="shared" si="44"/>
        <v>0</v>
      </c>
      <c r="BK58" s="5">
        <f t="shared" si="45"/>
        <v>14.34</v>
      </c>
      <c r="BN58" s="5">
        <f t="shared" si="46"/>
        <v>0</v>
      </c>
      <c r="BW58" s="5">
        <f t="shared" si="47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9"/>
        <v>7487.73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30"/>
        <v>0</v>
      </c>
      <c r="AK59" s="2">
        <f t="shared" si="30"/>
        <v>0</v>
      </c>
      <c r="AL59">
        <f t="shared" si="40"/>
        <v>1000000</v>
      </c>
      <c r="AM59" s="2">
        <f t="shared" si="31"/>
        <v>999522.68</v>
      </c>
      <c r="AN59">
        <f t="shared" si="41"/>
        <v>999522.68</v>
      </c>
      <c r="AO59" s="2">
        <f t="shared" si="32"/>
        <v>999505.10000000009</v>
      </c>
      <c r="AP59">
        <f t="shared" si="33"/>
        <v>999505.10000000009</v>
      </c>
      <c r="AQ59" s="2">
        <f t="shared" si="34"/>
        <v>999306.41000000015</v>
      </c>
      <c r="AR59">
        <f t="shared" si="35"/>
        <v>999306.41000000015</v>
      </c>
      <c r="AT59" s="2">
        <f t="shared" si="36"/>
        <v>999292.67000000016</v>
      </c>
      <c r="AU59">
        <f t="shared" si="37"/>
        <v>999292.67000000016</v>
      </c>
      <c r="AV59" s="2">
        <f t="shared" si="38"/>
        <v>999099.19000000018</v>
      </c>
      <c r="AW59">
        <f t="shared" si="39"/>
        <v>999099.19000000018</v>
      </c>
      <c r="BG59" s="127">
        <f t="shared" si="42"/>
        <v>0</v>
      </c>
      <c r="BH59" s="128"/>
      <c r="BI59" s="5">
        <f t="shared" si="43"/>
        <v>0</v>
      </c>
      <c r="BJ59" s="5">
        <f t="shared" si="44"/>
        <v>0</v>
      </c>
      <c r="BK59" s="5">
        <f t="shared" si="45"/>
        <v>0</v>
      </c>
      <c r="BN59" s="5">
        <f t="shared" si="46"/>
        <v>0</v>
      </c>
      <c r="BW59" s="5">
        <f t="shared" si="47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9"/>
        <v>7487.73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30"/>
        <v>0</v>
      </c>
      <c r="AK60" s="2">
        <f t="shared" si="30"/>
        <v>0</v>
      </c>
      <c r="AL60">
        <f t="shared" si="40"/>
        <v>1000000</v>
      </c>
      <c r="AM60" s="2">
        <f t="shared" si="31"/>
        <v>999522.68</v>
      </c>
      <c r="AN60">
        <f t="shared" si="41"/>
        <v>999522.68</v>
      </c>
      <c r="AO60" s="2">
        <f t="shared" si="32"/>
        <v>999505.10000000009</v>
      </c>
      <c r="AP60">
        <f t="shared" si="33"/>
        <v>999505.10000000009</v>
      </c>
      <c r="AQ60" s="2">
        <f t="shared" si="34"/>
        <v>999306.41000000015</v>
      </c>
      <c r="AR60">
        <f t="shared" si="35"/>
        <v>999306.41000000015</v>
      </c>
      <c r="AT60" s="2">
        <f t="shared" si="36"/>
        <v>999292.67000000016</v>
      </c>
      <c r="AU60">
        <f t="shared" si="37"/>
        <v>999292.67000000016</v>
      </c>
      <c r="AV60" s="2">
        <f t="shared" si="38"/>
        <v>999099.19000000018</v>
      </c>
      <c r="AW60">
        <f t="shared" si="39"/>
        <v>999099.19000000018</v>
      </c>
      <c r="BG60" s="127">
        <f t="shared" si="42"/>
        <v>0</v>
      </c>
      <c r="BH60" s="128"/>
      <c r="BI60" s="5">
        <f t="shared" si="43"/>
        <v>0</v>
      </c>
      <c r="BJ60" s="5">
        <f t="shared" si="44"/>
        <v>0</v>
      </c>
      <c r="BK60" s="5">
        <f t="shared" si="45"/>
        <v>0</v>
      </c>
      <c r="BN60" s="5">
        <f t="shared" si="46"/>
        <v>0</v>
      </c>
      <c r="BW60" s="5">
        <f t="shared" si="47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9"/>
        <v>7487.73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30"/>
        <v>0</v>
      </c>
      <c r="AK61" s="2">
        <f t="shared" si="30"/>
        <v>0</v>
      </c>
      <c r="AL61">
        <f t="shared" si="40"/>
        <v>1000000</v>
      </c>
      <c r="AM61" s="2">
        <f t="shared" si="31"/>
        <v>999522.68</v>
      </c>
      <c r="AN61">
        <f t="shared" si="41"/>
        <v>999522.68</v>
      </c>
      <c r="AO61" s="2">
        <f t="shared" si="32"/>
        <v>999505.10000000009</v>
      </c>
      <c r="AP61">
        <f t="shared" si="33"/>
        <v>999505.10000000009</v>
      </c>
      <c r="AQ61" s="2">
        <f t="shared" si="34"/>
        <v>999306.41000000015</v>
      </c>
      <c r="AR61">
        <f t="shared" si="35"/>
        <v>999306.41000000015</v>
      </c>
      <c r="AT61" s="2">
        <f t="shared" si="36"/>
        <v>999292.67000000016</v>
      </c>
      <c r="AU61">
        <f t="shared" si="37"/>
        <v>999292.67000000016</v>
      </c>
      <c r="AV61" s="2">
        <f t="shared" si="38"/>
        <v>999099.19000000018</v>
      </c>
      <c r="AW61">
        <f t="shared" si="39"/>
        <v>999099.19000000018</v>
      </c>
      <c r="BG61" s="127">
        <f t="shared" si="42"/>
        <v>0</v>
      </c>
      <c r="BH61" s="128"/>
      <c r="BI61" s="5">
        <f t="shared" si="43"/>
        <v>0</v>
      </c>
      <c r="BJ61" s="5">
        <f t="shared" si="44"/>
        <v>0</v>
      </c>
      <c r="BK61" s="5">
        <f t="shared" si="45"/>
        <v>0</v>
      </c>
      <c r="BN61" s="5">
        <f t="shared" si="46"/>
        <v>0</v>
      </c>
      <c r="BW61" s="5">
        <f t="shared" si="47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9"/>
        <v>7487.73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30"/>
        <v>0</v>
      </c>
      <c r="AK62" s="2">
        <f t="shared" si="30"/>
        <v>0</v>
      </c>
      <c r="AL62">
        <f t="shared" si="40"/>
        <v>1000000</v>
      </c>
      <c r="AM62" s="2">
        <f t="shared" si="31"/>
        <v>999522.68</v>
      </c>
      <c r="AN62">
        <f t="shared" si="41"/>
        <v>999522.68</v>
      </c>
      <c r="AO62" s="2">
        <f t="shared" si="32"/>
        <v>999505.10000000009</v>
      </c>
      <c r="AP62">
        <f t="shared" si="33"/>
        <v>999505.10000000009</v>
      </c>
      <c r="AQ62" s="2">
        <f t="shared" si="34"/>
        <v>999306.41000000015</v>
      </c>
      <c r="AR62">
        <f t="shared" si="35"/>
        <v>999306.41000000015</v>
      </c>
      <c r="AT62" s="2">
        <f t="shared" si="36"/>
        <v>999292.67000000016</v>
      </c>
      <c r="AU62">
        <f t="shared" si="37"/>
        <v>999292.67000000016</v>
      </c>
      <c r="AV62" s="2">
        <f t="shared" si="38"/>
        <v>999099.19000000018</v>
      </c>
      <c r="AW62">
        <f t="shared" si="39"/>
        <v>999099.19000000018</v>
      </c>
      <c r="BG62" s="127">
        <f t="shared" si="42"/>
        <v>0</v>
      </c>
      <c r="BH62" s="128"/>
      <c r="BI62" s="5">
        <f t="shared" si="43"/>
        <v>0</v>
      </c>
      <c r="BJ62" s="5">
        <f t="shared" si="44"/>
        <v>0</v>
      </c>
      <c r="BK62" s="5">
        <f t="shared" si="45"/>
        <v>0</v>
      </c>
      <c r="BN62" s="5">
        <f t="shared" si="46"/>
        <v>0</v>
      </c>
      <c r="BW62" s="5">
        <f t="shared" si="47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9"/>
        <v>7487.73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30"/>
        <v>0</v>
      </c>
      <c r="AK63" s="2">
        <f t="shared" si="30"/>
        <v>0</v>
      </c>
      <c r="AL63">
        <f t="shared" si="40"/>
        <v>1000000</v>
      </c>
      <c r="AM63" s="2">
        <f t="shared" si="31"/>
        <v>999522.68</v>
      </c>
      <c r="AN63">
        <f t="shared" si="41"/>
        <v>999522.68</v>
      </c>
      <c r="AO63" s="2">
        <f t="shared" si="32"/>
        <v>999505.10000000009</v>
      </c>
      <c r="AP63">
        <f t="shared" si="33"/>
        <v>999505.10000000009</v>
      </c>
      <c r="AQ63" s="2">
        <f t="shared" si="34"/>
        <v>999306.41000000015</v>
      </c>
      <c r="AR63">
        <f t="shared" si="35"/>
        <v>999306.41000000015</v>
      </c>
      <c r="AT63" s="2">
        <f t="shared" si="36"/>
        <v>999292.67000000016</v>
      </c>
      <c r="AU63">
        <f t="shared" si="37"/>
        <v>999292.67000000016</v>
      </c>
      <c r="AV63" s="2">
        <f t="shared" si="38"/>
        <v>999099.19000000018</v>
      </c>
      <c r="AW63">
        <f t="shared" si="39"/>
        <v>999099.19000000018</v>
      </c>
      <c r="BG63" s="127">
        <f t="shared" si="42"/>
        <v>0</v>
      </c>
      <c r="BH63" s="128"/>
      <c r="BI63" s="5">
        <f t="shared" si="43"/>
        <v>0</v>
      </c>
      <c r="BJ63" s="5">
        <f t="shared" si="44"/>
        <v>0</v>
      </c>
      <c r="BK63" s="5">
        <f t="shared" si="45"/>
        <v>0</v>
      </c>
      <c r="BN63" s="5">
        <f t="shared" si="46"/>
        <v>0</v>
      </c>
      <c r="BW63" s="5">
        <f t="shared" si="47"/>
        <v>0</v>
      </c>
    </row>
    <row r="64" spans="26:75" ht="15" customHeight="1" x14ac:dyDescent="0.25">
      <c r="AJ64">
        <f t="shared" ref="AJ64:AK67" si="48">Z30</f>
        <v>0</v>
      </c>
      <c r="AK64" s="2">
        <f t="shared" si="48"/>
        <v>0</v>
      </c>
      <c r="AL64">
        <f t="shared" si="40"/>
        <v>1000000</v>
      </c>
      <c r="AM64" s="2">
        <f t="shared" si="31"/>
        <v>999522.68</v>
      </c>
      <c r="AN64">
        <f t="shared" si="41"/>
        <v>999522.68</v>
      </c>
      <c r="AO64" s="2">
        <f t="shared" si="32"/>
        <v>999505.10000000009</v>
      </c>
      <c r="AP64">
        <f t="shared" si="33"/>
        <v>999505.10000000009</v>
      </c>
      <c r="AQ64" s="2">
        <f t="shared" si="34"/>
        <v>999306.41000000015</v>
      </c>
      <c r="AR64">
        <f t="shared" si="35"/>
        <v>999306.41000000015</v>
      </c>
      <c r="AT64" s="2">
        <f t="shared" si="36"/>
        <v>999292.67000000016</v>
      </c>
      <c r="AU64">
        <f t="shared" si="37"/>
        <v>999292.67000000016</v>
      </c>
      <c r="AV64" s="2">
        <f t="shared" si="38"/>
        <v>999099.19000000018</v>
      </c>
      <c r="AW64">
        <f t="shared" si="39"/>
        <v>999099.19000000018</v>
      </c>
      <c r="BG64" s="127">
        <f t="shared" si="42"/>
        <v>0</v>
      </c>
      <c r="BH64" s="128"/>
      <c r="BI64" s="5">
        <f t="shared" si="43"/>
        <v>0</v>
      </c>
      <c r="BJ64" s="5">
        <f t="shared" si="44"/>
        <v>0</v>
      </c>
      <c r="BK64" s="5">
        <f t="shared" si="45"/>
        <v>0</v>
      </c>
      <c r="BN64" s="5">
        <f t="shared" si="46"/>
        <v>0</v>
      </c>
      <c r="BW64" s="5">
        <f t="shared" si="47"/>
        <v>0</v>
      </c>
    </row>
    <row r="65" spans="36:75" x14ac:dyDescent="0.25">
      <c r="AJ65">
        <f t="shared" si="48"/>
        <v>0</v>
      </c>
      <c r="AK65" s="2">
        <f t="shared" si="48"/>
        <v>0</v>
      </c>
      <c r="AL65">
        <f t="shared" si="40"/>
        <v>1000000</v>
      </c>
      <c r="AM65" s="2">
        <f t="shared" si="31"/>
        <v>999522.68</v>
      </c>
      <c r="AN65">
        <f t="shared" si="41"/>
        <v>999522.68</v>
      </c>
      <c r="AO65" s="2">
        <f t="shared" si="32"/>
        <v>999505.10000000009</v>
      </c>
      <c r="AP65">
        <f t="shared" si="33"/>
        <v>999505.10000000009</v>
      </c>
      <c r="AQ65" s="2">
        <f t="shared" si="34"/>
        <v>999306.41000000015</v>
      </c>
      <c r="AR65">
        <f t="shared" si="35"/>
        <v>999306.41000000015</v>
      </c>
      <c r="AT65" s="2">
        <f t="shared" si="36"/>
        <v>999292.67000000016</v>
      </c>
      <c r="AU65">
        <f t="shared" si="37"/>
        <v>999292.67000000016</v>
      </c>
      <c r="AV65" s="2">
        <f t="shared" si="38"/>
        <v>999099.19000000018</v>
      </c>
      <c r="AW65">
        <f t="shared" si="39"/>
        <v>999099.19000000018</v>
      </c>
      <c r="BG65" s="127">
        <f t="shared" si="42"/>
        <v>0</v>
      </c>
      <c r="BH65" s="128"/>
      <c r="BI65" s="5">
        <f t="shared" si="43"/>
        <v>0</v>
      </c>
      <c r="BJ65" s="5">
        <f t="shared" si="44"/>
        <v>0</v>
      </c>
      <c r="BK65" s="5">
        <f t="shared" si="45"/>
        <v>0</v>
      </c>
      <c r="BN65" s="5">
        <f t="shared" si="46"/>
        <v>0</v>
      </c>
      <c r="BW65" s="5">
        <f t="shared" si="47"/>
        <v>0</v>
      </c>
    </row>
    <row r="66" spans="36:75" ht="14.25" customHeight="1" x14ac:dyDescent="0.25">
      <c r="AJ66">
        <f t="shared" si="48"/>
        <v>0</v>
      </c>
      <c r="AK66" s="2">
        <f t="shared" si="48"/>
        <v>0</v>
      </c>
      <c r="AL66">
        <f t="shared" si="40"/>
        <v>1000000</v>
      </c>
      <c r="AM66" s="2">
        <f t="shared" si="31"/>
        <v>999522.68</v>
      </c>
      <c r="AN66">
        <f t="shared" si="41"/>
        <v>999522.68</v>
      </c>
      <c r="AO66" s="2">
        <f t="shared" si="32"/>
        <v>999505.10000000009</v>
      </c>
      <c r="AP66">
        <f t="shared" si="33"/>
        <v>999505.10000000009</v>
      </c>
      <c r="AQ66" s="2">
        <f t="shared" si="34"/>
        <v>999306.41000000015</v>
      </c>
      <c r="AR66">
        <f t="shared" si="35"/>
        <v>999306.41000000015</v>
      </c>
      <c r="AT66" s="2">
        <f t="shared" si="36"/>
        <v>999292.67000000016</v>
      </c>
      <c r="AU66">
        <f t="shared" si="37"/>
        <v>999292.67000000016</v>
      </c>
      <c r="AV66" s="2">
        <f t="shared" si="38"/>
        <v>999099.19000000018</v>
      </c>
      <c r="AW66">
        <f t="shared" si="39"/>
        <v>999099.19000000018</v>
      </c>
      <c r="BG66" s="127">
        <f t="shared" si="42"/>
        <v>0</v>
      </c>
      <c r="BH66" s="128"/>
      <c r="BI66" s="5">
        <f t="shared" si="43"/>
        <v>0</v>
      </c>
      <c r="BJ66" s="5">
        <f t="shared" si="44"/>
        <v>0</v>
      </c>
      <c r="BK66" s="5">
        <f t="shared" si="45"/>
        <v>0</v>
      </c>
      <c r="BN66" s="5">
        <f t="shared" si="46"/>
        <v>0</v>
      </c>
      <c r="BW66" s="5">
        <f t="shared" si="47"/>
        <v>0</v>
      </c>
    </row>
    <row r="67" spans="36:75" x14ac:dyDescent="0.25">
      <c r="AJ67">
        <f t="shared" si="48"/>
        <v>0</v>
      </c>
      <c r="AK67" s="2">
        <f t="shared" si="48"/>
        <v>0</v>
      </c>
      <c r="AL67">
        <f t="shared" si="40"/>
        <v>1000000</v>
      </c>
      <c r="AM67" s="2">
        <f t="shared" si="31"/>
        <v>999522.68</v>
      </c>
      <c r="AN67">
        <f t="shared" si="41"/>
        <v>999522.68</v>
      </c>
      <c r="AO67" s="2">
        <f t="shared" si="32"/>
        <v>999505.10000000009</v>
      </c>
      <c r="AP67">
        <f t="shared" si="33"/>
        <v>999505.10000000009</v>
      </c>
      <c r="AQ67" s="2">
        <f t="shared" si="34"/>
        <v>999306.41000000015</v>
      </c>
      <c r="AR67">
        <f t="shared" si="35"/>
        <v>999306.41000000015</v>
      </c>
      <c r="AT67" s="2">
        <f t="shared" si="36"/>
        <v>999292.67000000016</v>
      </c>
      <c r="AU67">
        <f t="shared" si="37"/>
        <v>999292.67000000016</v>
      </c>
      <c r="AV67" s="2">
        <f t="shared" si="38"/>
        <v>999099.19000000018</v>
      </c>
      <c r="AW67">
        <f t="shared" si="39"/>
        <v>999099.19000000018</v>
      </c>
      <c r="BG67" s="127">
        <f t="shared" si="42"/>
        <v>0</v>
      </c>
      <c r="BH67" s="128"/>
      <c r="BI67" s="5">
        <f t="shared" si="43"/>
        <v>0</v>
      </c>
      <c r="BJ67" s="5">
        <f t="shared" si="44"/>
        <v>0</v>
      </c>
      <c r="BK67" s="5">
        <f t="shared" si="45"/>
        <v>0</v>
      </c>
      <c r="BN67" s="5">
        <f t="shared" si="46"/>
        <v>0</v>
      </c>
      <c r="BW67" s="5">
        <f t="shared" si="47"/>
        <v>0</v>
      </c>
    </row>
    <row r="68" spans="36:75" x14ac:dyDescent="0.25">
      <c r="BG68" s="129">
        <f t="shared" si="42"/>
        <v>0</v>
      </c>
      <c r="BH68" s="130"/>
      <c r="BI68" s="5">
        <f t="shared" si="43"/>
        <v>0</v>
      </c>
      <c r="BJ68" s="5">
        <f t="shared" si="44"/>
        <v>0</v>
      </c>
      <c r="BK68" s="5">
        <f t="shared" si="45"/>
        <v>0</v>
      </c>
      <c r="BN68" s="5">
        <f t="shared" si="46"/>
        <v>0</v>
      </c>
      <c r="BW68" s="5">
        <f t="shared" si="47"/>
        <v>0</v>
      </c>
    </row>
    <row r="69" spans="36:75" ht="12.75" customHeight="1" x14ac:dyDescent="0.25">
      <c r="BG69" t="s">
        <v>219</v>
      </c>
      <c r="BI69" s="5">
        <f>BG26</f>
        <v>1.7599999999999092</v>
      </c>
      <c r="BJ69" s="5">
        <f>CE28</f>
        <v>0</v>
      </c>
      <c r="BK69" s="5">
        <f>BI69+BJ69</f>
        <v>1.7599999999999092</v>
      </c>
      <c r="BW69" s="5">
        <f>SUM(BW49:BW68)</f>
        <v>0</v>
      </c>
    </row>
    <row r="70" spans="36:75" x14ac:dyDescent="0.25">
      <c r="BK70" s="5">
        <f>BG27+CE29</f>
        <v>18.599999999999909</v>
      </c>
    </row>
    <row r="82" spans="41:46" x14ac:dyDescent="0.25">
      <c r="AO82" s="5">
        <f>IF(AO20&lt;&gt;0,1,0)</f>
        <v>0</v>
      </c>
      <c r="AP82" s="5"/>
      <c r="AQ82" s="5">
        <f t="shared" ref="AQ82:AR88" si="49">IF(AQ20&lt;&gt;0,1,0)</f>
        <v>0</v>
      </c>
      <c r="AR82" s="19">
        <f t="shared" si="49"/>
        <v>0</v>
      </c>
      <c r="AS82" s="19"/>
      <c r="AT82" s="5">
        <f>SUM(AO82:AR82)</f>
        <v>0</v>
      </c>
    </row>
    <row r="83" spans="41:46" x14ac:dyDescent="0.25">
      <c r="AO83" s="5">
        <f t="shared" ref="AO83:AO88" si="50">IF(AO21&lt;&gt;0,1,0)</f>
        <v>0</v>
      </c>
      <c r="AP83" s="5"/>
      <c r="AQ83" s="5">
        <f t="shared" si="49"/>
        <v>0</v>
      </c>
      <c r="AR83" s="19">
        <f t="shared" si="49"/>
        <v>0</v>
      </c>
      <c r="AS83" s="19"/>
      <c r="AT83" s="5">
        <f t="shared" ref="AT83:AT88" si="51">SUM(AO83:AR83)</f>
        <v>0</v>
      </c>
    </row>
    <row r="84" spans="41:46" x14ac:dyDescent="0.25">
      <c r="AO84" s="5">
        <f t="shared" si="50"/>
        <v>0</v>
      </c>
      <c r="AP84" s="5"/>
      <c r="AQ84" s="5">
        <f t="shared" si="49"/>
        <v>0</v>
      </c>
      <c r="AR84" s="19">
        <f t="shared" si="49"/>
        <v>0</v>
      </c>
      <c r="AS84" s="19"/>
      <c r="AT84" s="5">
        <f t="shared" si="51"/>
        <v>0</v>
      </c>
    </row>
    <row r="85" spans="41:46" x14ac:dyDescent="0.25">
      <c r="AO85" s="5">
        <f t="shared" si="50"/>
        <v>0</v>
      </c>
      <c r="AP85" s="5"/>
      <c r="AQ85" s="5">
        <f t="shared" si="49"/>
        <v>0</v>
      </c>
      <c r="AR85" s="19">
        <f t="shared" si="49"/>
        <v>0</v>
      </c>
      <c r="AS85" s="19"/>
      <c r="AT85" s="5">
        <f t="shared" si="51"/>
        <v>0</v>
      </c>
    </row>
    <row r="86" spans="41:46" x14ac:dyDescent="0.25">
      <c r="AO86" s="5">
        <f t="shared" si="50"/>
        <v>0</v>
      </c>
      <c r="AP86" s="5"/>
      <c r="AQ86" s="5">
        <f t="shared" si="49"/>
        <v>0</v>
      </c>
      <c r="AR86" s="19">
        <f t="shared" si="49"/>
        <v>0</v>
      </c>
      <c r="AS86" s="19"/>
      <c r="AT86" s="5">
        <f t="shared" si="51"/>
        <v>0</v>
      </c>
    </row>
    <row r="87" spans="41:46" x14ac:dyDescent="0.25">
      <c r="AO87" s="5">
        <f t="shared" si="50"/>
        <v>0</v>
      </c>
      <c r="AP87" s="5"/>
      <c r="AQ87" s="5">
        <f t="shared" si="49"/>
        <v>0</v>
      </c>
      <c r="AR87" s="19">
        <f t="shared" si="49"/>
        <v>0</v>
      </c>
      <c r="AS87" s="19"/>
      <c r="AT87" s="5">
        <f t="shared" si="51"/>
        <v>0</v>
      </c>
    </row>
    <row r="88" spans="41:46" x14ac:dyDescent="0.25">
      <c r="AO88" s="5">
        <f t="shared" si="50"/>
        <v>0</v>
      </c>
      <c r="AP88" s="5"/>
      <c r="AQ88" s="5">
        <f t="shared" si="49"/>
        <v>0</v>
      </c>
      <c r="AR88" s="19">
        <f t="shared" si="49"/>
        <v>0</v>
      </c>
      <c r="AS88" s="19"/>
      <c r="AT88" s="5">
        <f t="shared" si="51"/>
        <v>0</v>
      </c>
    </row>
    <row r="89" spans="41:46" x14ac:dyDescent="0.25">
      <c r="AT89" s="5">
        <f>SUM(AT82:AT88)</f>
        <v>0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241</v>
      </c>
      <c r="DF210" s="231" t="s">
        <v>221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L11</f>
        <v>0</v>
      </c>
      <c r="DF211" s="233">
        <f>M11</f>
        <v>1071</v>
      </c>
    </row>
    <row r="212" spans="105:110" ht="15.5" x14ac:dyDescent="0.35">
      <c r="DA212" s="232" t="str">
        <f t="shared" ref="DA212:DA230" si="52">IF(A12="Elected","E",IF(A12="Excluded","Excluded",""))&amp;IF(B12&gt;0,B12,"")</f>
        <v/>
      </c>
      <c r="DB212" s="232" t="str">
        <f t="shared" ref="DB212:DD227" si="53">C12</f>
        <v>FLYNN</v>
      </c>
      <c r="DC212" s="232" t="str">
        <f t="shared" si="53"/>
        <v>Sinn Féin</v>
      </c>
      <c r="DD212" s="233">
        <f t="shared" si="53"/>
        <v>493</v>
      </c>
      <c r="DE212" s="233">
        <f t="shared" ref="DE212:DF212" si="54">L12</f>
        <v>0.04</v>
      </c>
      <c r="DF212" s="233">
        <f t="shared" si="54"/>
        <v>494.94000000000005</v>
      </c>
    </row>
    <row r="213" spans="105:110" ht="15.5" x14ac:dyDescent="0.35">
      <c r="DA213" s="232" t="str">
        <f t="shared" si="52"/>
        <v/>
      </c>
      <c r="DB213" s="232" t="str">
        <f t="shared" si="53"/>
        <v>FRENCH</v>
      </c>
      <c r="DC213" s="232" t="str">
        <f t="shared" si="53"/>
        <v xml:space="preserve">SDLP </v>
      </c>
      <c r="DD213" s="233">
        <f t="shared" si="53"/>
        <v>472</v>
      </c>
      <c r="DE213" s="233">
        <f t="shared" ref="DE213:DF213" si="55">L13</f>
        <v>0.02</v>
      </c>
      <c r="DF213" s="233">
        <f t="shared" si="55"/>
        <v>477.34</v>
      </c>
    </row>
    <row r="214" spans="105:110" ht="15.5" x14ac:dyDescent="0.35">
      <c r="DA214" s="232" t="str">
        <f t="shared" si="52"/>
        <v>E3</v>
      </c>
      <c r="DB214" s="232" t="str">
        <f t="shared" si="53"/>
        <v>GIVAN</v>
      </c>
      <c r="DC214" s="232" t="str">
        <f t="shared" si="53"/>
        <v>D.U.P.</v>
      </c>
      <c r="DD214" s="233">
        <f t="shared" si="53"/>
        <v>1038</v>
      </c>
      <c r="DE214" s="233">
        <f t="shared" ref="DE214:DF214" si="56">L14</f>
        <v>-18.599999999999909</v>
      </c>
      <c r="DF214" s="233">
        <f t="shared" si="56"/>
        <v>1071</v>
      </c>
    </row>
    <row r="215" spans="105:110" ht="15.5" x14ac:dyDescent="0.35">
      <c r="DA215" s="232" t="str">
        <f t="shared" si="52"/>
        <v>E2</v>
      </c>
      <c r="DB215" s="232" t="str">
        <f t="shared" si="53"/>
        <v>GREHAN</v>
      </c>
      <c r="DC215" s="232" t="str">
        <f t="shared" si="53"/>
        <v>Alliance Party</v>
      </c>
      <c r="DD215" s="233">
        <f t="shared" si="53"/>
        <v>1111</v>
      </c>
      <c r="DE215" s="233">
        <f t="shared" ref="DE215:DF215" si="57">L15</f>
        <v>0</v>
      </c>
      <c r="DF215" s="233">
        <f t="shared" si="57"/>
        <v>1071</v>
      </c>
    </row>
    <row r="216" spans="105:110" ht="15.5" x14ac:dyDescent="0.35">
      <c r="DA216" s="232" t="str">
        <f t="shared" si="52"/>
        <v/>
      </c>
      <c r="DB216" s="232" t="str">
        <f t="shared" si="53"/>
        <v>KENNEDY</v>
      </c>
      <c r="DC216" s="232" t="str">
        <f t="shared" si="53"/>
        <v>Alliance Party</v>
      </c>
      <c r="DD216" s="233">
        <f t="shared" si="53"/>
        <v>674</v>
      </c>
      <c r="DE216" s="233">
        <f t="shared" ref="DE216:DF216" si="58">L16</f>
        <v>0.22</v>
      </c>
      <c r="DF216" s="233">
        <f t="shared" si="58"/>
        <v>707.55</v>
      </c>
    </row>
    <row r="217" spans="105:110" ht="15.5" x14ac:dyDescent="0.35">
      <c r="DA217" s="232" t="str">
        <f t="shared" si="52"/>
        <v>Excluded</v>
      </c>
      <c r="DB217" s="232" t="str">
        <f t="shared" si="53"/>
        <v>MCEVOY</v>
      </c>
      <c r="DC217" s="232" t="str">
        <f t="shared" si="53"/>
        <v xml:space="preserve">TUV </v>
      </c>
      <c r="DD217" s="233">
        <f t="shared" si="53"/>
        <v>387</v>
      </c>
      <c r="DE217" s="233">
        <f t="shared" ref="DE217:DF217" si="59">L17</f>
        <v>0</v>
      </c>
      <c r="DF217" s="233">
        <f t="shared" si="59"/>
        <v>0</v>
      </c>
    </row>
    <row r="218" spans="105:110" ht="15.5" x14ac:dyDescent="0.35">
      <c r="DA218" s="232" t="str">
        <f t="shared" si="52"/>
        <v/>
      </c>
      <c r="DB218" s="232" t="str">
        <f t="shared" si="53"/>
        <v>MITCHELL</v>
      </c>
      <c r="DC218" s="232" t="str">
        <f t="shared" si="53"/>
        <v>UUP</v>
      </c>
      <c r="DD218" s="233">
        <f t="shared" si="53"/>
        <v>870</v>
      </c>
      <c r="DE218" s="233">
        <f t="shared" ref="DE218:DF218" si="60">L18</f>
        <v>1.54</v>
      </c>
      <c r="DF218" s="233">
        <f t="shared" si="60"/>
        <v>965.12</v>
      </c>
    </row>
    <row r="219" spans="105:110" ht="15.5" x14ac:dyDescent="0.35">
      <c r="DA219" s="232" t="str">
        <f t="shared" si="52"/>
        <v/>
      </c>
      <c r="DB219" s="232" t="str">
        <f t="shared" si="53"/>
        <v>PALMER</v>
      </c>
      <c r="DC219" s="232" t="str">
        <f t="shared" si="53"/>
        <v>UUP</v>
      </c>
      <c r="DD219" s="233">
        <f t="shared" si="53"/>
        <v>625</v>
      </c>
      <c r="DE219" s="233">
        <f t="shared" ref="DE219:DF219" si="61">L19</f>
        <v>0.68</v>
      </c>
      <c r="DF219" s="233">
        <f t="shared" si="61"/>
        <v>694.27</v>
      </c>
    </row>
    <row r="220" spans="105:110" ht="15.5" x14ac:dyDescent="0.35">
      <c r="DA220" s="232" t="str">
        <f t="shared" si="52"/>
        <v/>
      </c>
      <c r="DB220" s="232" t="str">
        <f t="shared" si="53"/>
        <v>PORTER</v>
      </c>
      <c r="DC220" s="232" t="str">
        <f t="shared" si="53"/>
        <v>D.U.P.</v>
      </c>
      <c r="DD220" s="233">
        <f t="shared" si="53"/>
        <v>687</v>
      </c>
      <c r="DE220" s="233">
        <f t="shared" ref="DE220:DF220" si="62">L20</f>
        <v>14.34</v>
      </c>
      <c r="DF220" s="233">
        <f t="shared" si="62"/>
        <v>915.15</v>
      </c>
    </row>
    <row r="221" spans="105:110" ht="15.5" x14ac:dyDescent="0.35">
      <c r="DA221" s="232" t="str">
        <f t="shared" si="52"/>
        <v/>
      </c>
      <c r="DB221" s="232">
        <f t="shared" si="53"/>
        <v>0</v>
      </c>
      <c r="DC221" s="232">
        <f t="shared" si="53"/>
        <v>0</v>
      </c>
      <c r="DD221" s="233">
        <f t="shared" si="53"/>
        <v>0</v>
      </c>
      <c r="DE221" s="233">
        <f t="shared" ref="DE221:DF221" si="63">L21</f>
        <v>0</v>
      </c>
      <c r="DF221" s="233">
        <f t="shared" si="63"/>
        <v>0</v>
      </c>
    </row>
    <row r="222" spans="105:110" ht="15.5" x14ac:dyDescent="0.35">
      <c r="DA222" s="232" t="str">
        <f t="shared" si="52"/>
        <v/>
      </c>
      <c r="DB222" s="232">
        <f t="shared" si="53"/>
        <v>0</v>
      </c>
      <c r="DC222" s="232">
        <f t="shared" si="53"/>
        <v>0</v>
      </c>
      <c r="DD222" s="233">
        <f t="shared" si="53"/>
        <v>0</v>
      </c>
      <c r="DE222" s="233">
        <f t="shared" ref="DE222:DF222" si="64">L22</f>
        <v>0</v>
      </c>
      <c r="DF222" s="233">
        <f t="shared" si="64"/>
        <v>0</v>
      </c>
    </row>
    <row r="223" spans="105:110" ht="15.5" x14ac:dyDescent="0.35">
      <c r="DA223" s="232" t="str">
        <f t="shared" si="52"/>
        <v/>
      </c>
      <c r="DB223" s="232">
        <f t="shared" si="53"/>
        <v>0</v>
      </c>
      <c r="DC223" s="232">
        <f t="shared" si="53"/>
        <v>0</v>
      </c>
      <c r="DD223" s="233">
        <f t="shared" si="53"/>
        <v>0</v>
      </c>
      <c r="DE223" s="233">
        <f t="shared" ref="DE223:DF223" si="65">L23</f>
        <v>0</v>
      </c>
      <c r="DF223" s="233">
        <f t="shared" si="65"/>
        <v>0</v>
      </c>
    </row>
    <row r="224" spans="105:110" ht="15.5" x14ac:dyDescent="0.35">
      <c r="DA224" s="232" t="str">
        <f t="shared" si="52"/>
        <v/>
      </c>
      <c r="DB224" s="232">
        <f t="shared" si="53"/>
        <v>0</v>
      </c>
      <c r="DC224" s="232">
        <f t="shared" si="53"/>
        <v>0</v>
      </c>
      <c r="DD224" s="233">
        <f t="shared" si="53"/>
        <v>0</v>
      </c>
      <c r="DE224" s="233">
        <f t="shared" ref="DE224:DF224" si="66">L24</f>
        <v>0</v>
      </c>
      <c r="DF224" s="233">
        <f t="shared" si="66"/>
        <v>0</v>
      </c>
    </row>
    <row r="225" spans="105:110" ht="15.5" x14ac:dyDescent="0.35">
      <c r="DA225" s="232" t="str">
        <f t="shared" si="52"/>
        <v/>
      </c>
      <c r="DB225" s="232">
        <f t="shared" si="53"/>
        <v>0</v>
      </c>
      <c r="DC225" s="232">
        <f t="shared" si="53"/>
        <v>0</v>
      </c>
      <c r="DD225" s="233">
        <f t="shared" si="53"/>
        <v>0</v>
      </c>
      <c r="DE225" s="233">
        <f t="shared" ref="DE225:DF225" si="67">L25</f>
        <v>0</v>
      </c>
      <c r="DF225" s="233">
        <f t="shared" si="67"/>
        <v>0</v>
      </c>
    </row>
    <row r="226" spans="105:110" ht="15.5" x14ac:dyDescent="0.35">
      <c r="DA226" s="232" t="str">
        <f t="shared" si="52"/>
        <v/>
      </c>
      <c r="DB226" s="232">
        <f t="shared" si="53"/>
        <v>0</v>
      </c>
      <c r="DC226" s="232">
        <f t="shared" si="53"/>
        <v>0</v>
      </c>
      <c r="DD226" s="233">
        <f t="shared" si="53"/>
        <v>0</v>
      </c>
      <c r="DE226" s="233">
        <f t="shared" ref="DE226:DF226" si="68">L26</f>
        <v>0</v>
      </c>
      <c r="DF226" s="233">
        <f t="shared" si="68"/>
        <v>0</v>
      </c>
    </row>
    <row r="227" spans="105:110" ht="15.5" x14ac:dyDescent="0.35">
      <c r="DA227" s="232" t="str">
        <f t="shared" si="52"/>
        <v/>
      </c>
      <c r="DB227" s="232">
        <f t="shared" si="53"/>
        <v>0</v>
      </c>
      <c r="DC227" s="232">
        <f t="shared" si="53"/>
        <v>0</v>
      </c>
      <c r="DD227" s="233">
        <f t="shared" si="53"/>
        <v>0</v>
      </c>
      <c r="DE227" s="233">
        <f t="shared" ref="DE227:DF227" si="69">L27</f>
        <v>0</v>
      </c>
      <c r="DF227" s="233">
        <f t="shared" si="69"/>
        <v>0</v>
      </c>
    </row>
    <row r="228" spans="105:110" ht="15.5" x14ac:dyDescent="0.35">
      <c r="DA228" s="232" t="str">
        <f t="shared" si="52"/>
        <v/>
      </c>
      <c r="DB228" s="232">
        <f t="shared" ref="DB228:DD230" si="70">C28</f>
        <v>0</v>
      </c>
      <c r="DC228" s="232">
        <f t="shared" si="70"/>
        <v>0</v>
      </c>
      <c r="DD228" s="233">
        <f t="shared" si="70"/>
        <v>0</v>
      </c>
      <c r="DE228" s="233">
        <f t="shared" ref="DE228:DF228" si="71">L28</f>
        <v>0</v>
      </c>
      <c r="DF228" s="233">
        <f t="shared" si="71"/>
        <v>0</v>
      </c>
    </row>
    <row r="229" spans="105:110" ht="15.5" x14ac:dyDescent="0.35">
      <c r="DA229" s="232" t="str">
        <f t="shared" si="52"/>
        <v/>
      </c>
      <c r="DB229" s="232">
        <f t="shared" si="70"/>
        <v>0</v>
      </c>
      <c r="DC229" s="232">
        <f t="shared" si="70"/>
        <v>0</v>
      </c>
      <c r="DD229" s="233">
        <f t="shared" si="70"/>
        <v>0</v>
      </c>
      <c r="DE229" s="233">
        <f t="shared" ref="DE229:DF229" si="72">L29</f>
        <v>0</v>
      </c>
      <c r="DF229" s="233">
        <f t="shared" si="72"/>
        <v>0</v>
      </c>
    </row>
    <row r="230" spans="105:110" ht="15.5" x14ac:dyDescent="0.35">
      <c r="DA230" s="232" t="str">
        <f t="shared" si="52"/>
        <v/>
      </c>
      <c r="DB230" s="232">
        <f t="shared" si="70"/>
        <v>0</v>
      </c>
      <c r="DC230" s="232">
        <f t="shared" si="70"/>
        <v>0</v>
      </c>
      <c r="DD230" s="233">
        <f t="shared" si="70"/>
        <v>0</v>
      </c>
      <c r="DE230" s="233">
        <f t="shared" ref="DE230:DF230" si="73">L30</f>
        <v>0</v>
      </c>
      <c r="DF230" s="233">
        <f t="shared" si="73"/>
        <v>0</v>
      </c>
    </row>
    <row r="231" spans="105:110" ht="15.5" x14ac:dyDescent="0.35">
      <c r="DC231" s="234" t="s">
        <v>123</v>
      </c>
      <c r="DD231" s="234"/>
      <c r="DE231" s="233">
        <f t="shared" ref="DE231:DF231" si="74">L31</f>
        <v>1.7599999999999092</v>
      </c>
      <c r="DF231" s="233">
        <f t="shared" si="74"/>
        <v>28.629999999999903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 t="shared" ref="DF232" si="75">M32</f>
        <v>7495.9999999999991</v>
      </c>
    </row>
  </sheetData>
  <sheetProtection sheet="1" objects="1" scenarios="1"/>
  <protectedRanges>
    <protectedRange sqref="BT3:BZ3" name="Range20"/>
    <protectedRange sqref="BF26" name="Range7"/>
    <protectedRange sqref="BF5:BF24" name="Range6"/>
    <protectedRange sqref="BC13:BC14" name="Range5"/>
    <protectedRange sqref="BC10" name="Range4"/>
    <protectedRange sqref="M34:M36" name="Range1"/>
    <protectedRange sqref="BT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BH5:BH24" name="Range23"/>
    <protectedRange sqref="BH5:BH24" name="Range22"/>
    <protectedRange sqref="BH5:BH24" name="Range21"/>
    <protectedRange sqref="BH5:BH24" name="Range24"/>
    <protectedRange sqref="AQ5" name="Range3_1"/>
  </protectedRanges>
  <mergeCells count="83">
    <mergeCell ref="U4:W4"/>
    <mergeCell ref="AL28:AQ29"/>
    <mergeCell ref="AL31:AQ32"/>
    <mergeCell ref="T8:U8"/>
    <mergeCell ref="V6:W6"/>
    <mergeCell ref="AM13:AM17"/>
    <mergeCell ref="AO13:AO17"/>
    <mergeCell ref="AQ13:AQ17"/>
    <mergeCell ref="AP13:AP17"/>
    <mergeCell ref="V7:W7"/>
    <mergeCell ref="V8:W8"/>
    <mergeCell ref="AK9:AP10"/>
    <mergeCell ref="AL13:AL17"/>
    <mergeCell ref="P9:Q9"/>
    <mergeCell ref="R9:S9"/>
    <mergeCell ref="T9:U9"/>
    <mergeCell ref="AL3:AQ3"/>
    <mergeCell ref="BF30:BG32"/>
    <mergeCell ref="AO20:AP20"/>
    <mergeCell ref="AJ24:AK24"/>
    <mergeCell ref="AJ25:AK25"/>
    <mergeCell ref="AO24:AP24"/>
    <mergeCell ref="AO25:AP25"/>
    <mergeCell ref="AJ20:AK20"/>
    <mergeCell ref="AQ9:AR10"/>
    <mergeCell ref="AN13:AN19"/>
    <mergeCell ref="P8:Q8"/>
    <mergeCell ref="P7:Q7"/>
    <mergeCell ref="P6:Q6"/>
    <mergeCell ref="F9:G9"/>
    <mergeCell ref="H9:I9"/>
    <mergeCell ref="J9:K9"/>
    <mergeCell ref="L9:M9"/>
    <mergeCell ref="N9:O9"/>
    <mergeCell ref="R8:S8"/>
    <mergeCell ref="R7:S7"/>
    <mergeCell ref="R6:S6"/>
    <mergeCell ref="F8:G8"/>
    <mergeCell ref="H8:I8"/>
    <mergeCell ref="J8:K8"/>
    <mergeCell ref="L8:M8"/>
    <mergeCell ref="N8:O8"/>
    <mergeCell ref="Z2:AF2"/>
    <mergeCell ref="L7:M7"/>
    <mergeCell ref="F6:G6"/>
    <mergeCell ref="H6:I6"/>
    <mergeCell ref="F7:G7"/>
    <mergeCell ref="H7:I7"/>
    <mergeCell ref="N6:O6"/>
    <mergeCell ref="N7:O7"/>
    <mergeCell ref="T6:U6"/>
    <mergeCell ref="T7:U7"/>
    <mergeCell ref="J6:K6"/>
    <mergeCell ref="J7:K7"/>
    <mergeCell ref="L6:M6"/>
    <mergeCell ref="E4:F4"/>
    <mergeCell ref="E3:F3"/>
    <mergeCell ref="Z3:AF3"/>
    <mergeCell ref="CB2:CE2"/>
    <mergeCell ref="BI3:BK3"/>
    <mergeCell ref="BT3:BZ3"/>
    <mergeCell ref="BP5:BP7"/>
    <mergeCell ref="AQ6:AR7"/>
    <mergeCell ref="K1:L1"/>
    <mergeCell ref="H3:I3"/>
    <mergeCell ref="O4:S4"/>
    <mergeCell ref="O3:S3"/>
    <mergeCell ref="H4:I4"/>
    <mergeCell ref="O2:S2"/>
    <mergeCell ref="DE209:DF209"/>
    <mergeCell ref="Z4:AF4"/>
    <mergeCell ref="Z6:AF7"/>
    <mergeCell ref="AZ22:AZ23"/>
    <mergeCell ref="AJ22:AK22"/>
    <mergeCell ref="AJ23:AK23"/>
    <mergeCell ref="AJ21:AK21"/>
    <mergeCell ref="AO21:AP21"/>
    <mergeCell ref="AO22:AP22"/>
    <mergeCell ref="AO23:AP23"/>
    <mergeCell ref="AK6:AP7"/>
    <mergeCell ref="CB31:CE32"/>
    <mergeCell ref="BI30:BK31"/>
    <mergeCell ref="BX30:BY32"/>
  </mergeCells>
  <phoneticPr fontId="0" type="noConversion"/>
  <conditionalFormatting sqref="AL3">
    <cfRule type="cellIs" dxfId="122" priority="1" stopIfTrue="1" operator="notEqual">
      <formula>0</formula>
    </cfRule>
  </conditionalFormatting>
  <conditionalFormatting sqref="BF30:BG31">
    <cfRule type="cellIs" dxfId="121" priority="2" stopIfTrue="1" operator="equal">
      <formula>"NONE"</formula>
    </cfRule>
    <cfRule type="cellIs" dxfId="120" priority="3" stopIfTrue="1" operator="notEqual">
      <formula>"NONE"</formula>
    </cfRule>
  </conditionalFormatting>
  <conditionalFormatting sqref="BX30">
    <cfRule type="cellIs" dxfId="119" priority="4" stopIfTrue="1" operator="equal">
      <formula>"Calculations OK"</formula>
    </cfRule>
    <cfRule type="cellIs" dxfId="118" priority="5" stopIfTrue="1" operator="equal">
      <formula>"Check Count for Error"</formula>
    </cfRule>
  </conditionalFormatting>
  <conditionalFormatting sqref="V4:W4">
    <cfRule type="cellIs" dxfId="117" priority="6" stopIfTrue="1" operator="equal">
      <formula>"Totals Correct"</formula>
    </cfRule>
    <cfRule type="cellIs" dxfId="116" priority="7" stopIfTrue="1" operator="equal">
      <formula>"ERROR"</formula>
    </cfRule>
  </conditionalFormatting>
  <conditionalFormatting sqref="U4">
    <cfRule type="cellIs" dxfId="115" priority="8" stopIfTrue="1" operator="equal">
      <formula>"OK TO MOVE TO NEXT STAGE"</formula>
    </cfRule>
    <cfRule type="cellIs" dxfId="114" priority="9" stopIfTrue="1" operator="equal">
      <formula>"DO NOT MOVE TO NEXT STAGE"</formula>
    </cfRule>
  </conditionalFormatting>
  <hyperlinks>
    <hyperlink ref="Z6:AF7" location="'Stage 4'!A1" display="BACK to Overview of STAGE 4"/>
    <hyperlink ref="AL28" location="'Stage 2'!BI1" display="MOVE TO TRANSFER OF SURPLUS VOTES FORM"/>
    <hyperlink ref="AL31" location="'Stage 2'!CC1" display="MOVE TO EXCLUDE CANDIDATE FORM"/>
    <hyperlink ref="AL28:AQ29" location="'Stage 5'!AY1:BK1" display="MOVE TO TRANSFER OF SURPLUS VOTES FORM"/>
    <hyperlink ref="AL31:AQ32" location="'Stage 5'!BN1:CE1" display="MOVE TO EXCLUDE CANDIDATE FORM"/>
    <hyperlink ref="BI3" location="'Stage 2'!AQ5" display="MOVE TO NEXT FORM"/>
    <hyperlink ref="BI3:BK3" location="'Stage 5'!Y1:AR1" display="BACK to DECISION FORM"/>
    <hyperlink ref="BI30:BK31" location="'Stage 5'!A1" display="FORWARD to OVERVIEW OF STAGE 5"/>
    <hyperlink ref="CB31" location="'Stage 2'!A1" display="HOME TO OVERVIEW OF STAGE 2"/>
    <hyperlink ref="CB31:CE32" location="'Stage 5'!A1" display="FORWARD to OVERVIEW OF STAGE 5"/>
    <hyperlink ref="CB2" location="'Stage 2'!AQ5" display="MOVE TO NEXT FORM"/>
    <hyperlink ref="CB2:CE2" location="'Stage 5'!Y1:AR1" display="BACK to DECISION FORM"/>
    <hyperlink ref="O4" location="'Stage 3'!A1" display="MOVE TO STAGE 3"/>
    <hyperlink ref="O2" location="'Stage 3'!A1" display="MOVE TO STAGE 3"/>
    <hyperlink ref="O2:S2" location="'Stage 5'!Y1:AR1" display="BACK to DECISION FORM Stage 5"/>
    <hyperlink ref="O4:S4" location="'Stage 6'!Y1:AR1" display="FORWARD TO STAGE 6"/>
  </hyperlinks>
  <pageMargins left="0.75" right="0.75" top="1" bottom="1" header="0.5" footer="0.5"/>
  <pageSetup paperSize="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DF232"/>
  <sheetViews>
    <sheetView showGridLines="0" showZeros="0" zoomScale="75" workbookViewId="0">
      <selection activeCell="O4" sqref="O4:S4"/>
    </sheetView>
  </sheetViews>
  <sheetFormatPr defaultRowHeight="12.5" x14ac:dyDescent="0.25"/>
  <cols>
    <col min="1" max="1" width="8.453125" customWidth="1"/>
    <col min="2" max="2" width="4.453125" customWidth="1"/>
    <col min="3" max="3" width="18.6328125" customWidth="1"/>
    <col min="4" max="4" width="18.453125" customWidth="1"/>
    <col min="5" max="5" width="13.36328125" customWidth="1"/>
    <col min="6" max="23" width="9.6328125" customWidth="1"/>
    <col min="24" max="24" width="218.453125" customWidth="1"/>
    <col min="25" max="25" width="4" customWidth="1"/>
    <col min="26" max="26" width="14.453125" customWidth="1"/>
    <col min="27" max="27" width="11.6328125" customWidth="1"/>
    <col min="28" max="28" width="2" customWidth="1"/>
    <col min="29" max="29" width="8.453125" customWidth="1"/>
    <col min="30" max="30" width="2" customWidth="1"/>
    <col min="31" max="31" width="13.36328125" customWidth="1"/>
    <col min="32" max="32" width="8.453125" customWidth="1"/>
    <col min="33" max="33" width="19.90625" customWidth="1"/>
    <col min="34" max="34" width="2.453125" customWidth="1"/>
    <col min="35" max="35" width="3.36328125" customWidth="1"/>
    <col min="38" max="38" width="10.6328125" customWidth="1"/>
    <col min="39" max="39" width="10.08984375" customWidth="1"/>
    <col min="40" max="40" width="10.6328125" customWidth="1"/>
    <col min="41" max="41" width="11" customWidth="1"/>
    <col min="42" max="42" width="8.453125" customWidth="1"/>
    <col min="43" max="43" width="11.36328125" customWidth="1"/>
    <col min="44" max="44" width="16.36328125" customWidth="1"/>
    <col min="45" max="45" width="207.6328125" customWidth="1"/>
    <col min="50" max="50" width="214.08984375" customWidth="1"/>
    <col min="51" max="51" width="5" customWidth="1"/>
    <col min="52" max="52" width="49.90625" customWidth="1"/>
    <col min="53" max="53" width="14.36328125" customWidth="1"/>
    <col min="54" max="54" width="3.36328125" customWidth="1"/>
    <col min="56" max="56" width="4" customWidth="1"/>
    <col min="57" max="57" width="23" customWidth="1"/>
    <col min="58" max="58" width="12" customWidth="1"/>
    <col min="59" max="59" width="14.90625" customWidth="1"/>
    <col min="61" max="61" width="11" customWidth="1"/>
    <col min="62" max="62" width="11.453125" customWidth="1"/>
    <col min="63" max="63" width="10.90625" customWidth="1"/>
    <col min="64" max="64" width="212.36328125" customWidth="1"/>
    <col min="67" max="67" width="9.6328125" customWidth="1"/>
    <col min="68" max="68" width="7.453125" customWidth="1"/>
    <col min="69" max="69" width="1.6328125" customWidth="1"/>
    <col min="70" max="70" width="24.90625" customWidth="1"/>
    <col min="83" max="83" width="19.36328125" customWidth="1"/>
    <col min="105" max="105" width="12.54296875" customWidth="1"/>
    <col min="106" max="106" width="33.08984375" customWidth="1"/>
    <col min="107" max="107" width="34" customWidth="1"/>
    <col min="108" max="108" width="16" customWidth="1"/>
    <col min="109" max="109" width="15" customWidth="1"/>
    <col min="110" max="110" width="15.90625" customWidth="1"/>
  </cols>
  <sheetData>
    <row r="1" spans="1:105" ht="20.5" thickBot="1" x14ac:dyDescent="0.45">
      <c r="A1" s="76" t="str">
        <f>'Verification of Boxes'!B1</f>
        <v>Local Council Elections 2023</v>
      </c>
      <c r="F1" s="10" t="s">
        <v>107</v>
      </c>
      <c r="J1" s="85" t="s">
        <v>37</v>
      </c>
      <c r="K1" s="319">
        <f>'Basic Input'!C2</f>
        <v>45064</v>
      </c>
      <c r="L1" s="319"/>
      <c r="Z1" s="10" t="s">
        <v>242</v>
      </c>
      <c r="AQ1" s="33"/>
      <c r="AZ1" s="10" t="s">
        <v>126</v>
      </c>
      <c r="BE1" s="34" t="str">
        <f>IF(AT5="T","COMPLETE THIS FORM","YOU HAVE NOT SELECTED TO COMPLETE THIS FORM")</f>
        <v>YOU HAVE NOT SELECTED TO COMPLETE THIS FORM</v>
      </c>
      <c r="BR1" s="10" t="s">
        <v>127</v>
      </c>
      <c r="BY1" s="34" t="str">
        <f>IF(AT5="E","COMPLETE THIS FORM","YOU HAVE NOT SELECTED TO COMPLETE THIS FORM")</f>
        <v>COMPLETE THIS FORM</v>
      </c>
      <c r="DA1">
        <v>1</v>
      </c>
    </row>
    <row r="2" spans="1:105" ht="18.5" thickBot="1" x14ac:dyDescent="0.45">
      <c r="A2" s="10" t="str">
        <f>'Verification of Boxes'!A3</f>
        <v>District Electoral Area of</v>
      </c>
      <c r="D2" s="10" t="str">
        <f>'Verification of Boxes'!B3</f>
        <v>Lisburn South</v>
      </c>
      <c r="O2" s="345" t="s">
        <v>243</v>
      </c>
      <c r="P2" s="346"/>
      <c r="Q2" s="346"/>
      <c r="R2" s="346"/>
      <c r="S2" s="347"/>
      <c r="Z2" s="314" t="s">
        <v>129</v>
      </c>
      <c r="AA2" s="314"/>
      <c r="AB2" s="314"/>
      <c r="AC2" s="314"/>
      <c r="AD2" s="314"/>
      <c r="AE2" s="314"/>
      <c r="AF2" s="344"/>
      <c r="AG2" s="151">
        <f>SUM(AF14:AF33)</f>
        <v>0</v>
      </c>
      <c r="AZ2" s="10" t="str">
        <f>'Verification of Boxes'!B1</f>
        <v>Local Council Elections 2023</v>
      </c>
      <c r="BE2" t="s">
        <v>37</v>
      </c>
      <c r="BF2" s="26">
        <f>'Basic Input'!C2</f>
        <v>45064</v>
      </c>
      <c r="BG2" s="3" t="s">
        <v>130</v>
      </c>
      <c r="BR2" s="36" t="s">
        <v>107</v>
      </c>
      <c r="CB2" s="345" t="s">
        <v>131</v>
      </c>
      <c r="CC2" s="346"/>
      <c r="CD2" s="346"/>
      <c r="CE2" s="347"/>
    </row>
    <row r="3" spans="1:105" ht="21.75" customHeight="1" thickBot="1" x14ac:dyDescent="0.45">
      <c r="C3" s="3" t="s">
        <v>96</v>
      </c>
      <c r="D3" s="68">
        <f>'Verification of Boxes'!L2</f>
        <v>16838</v>
      </c>
      <c r="E3" s="306" t="s">
        <v>62</v>
      </c>
      <c r="F3" s="307"/>
      <c r="G3" s="131">
        <f>'Verification of Boxes'!G3</f>
        <v>6</v>
      </c>
      <c r="H3" s="306" t="s">
        <v>97</v>
      </c>
      <c r="I3" s="307"/>
      <c r="J3" s="131">
        <f>'Verification of Boxes'!L33</f>
        <v>99</v>
      </c>
      <c r="L3" s="3" t="s">
        <v>98</v>
      </c>
      <c r="M3" s="131">
        <f>'Verification of Boxes'!G4</f>
        <v>1071</v>
      </c>
      <c r="O3" s="323"/>
      <c r="P3" s="323"/>
      <c r="Q3" s="323"/>
      <c r="R3" s="323"/>
      <c r="S3" s="323"/>
      <c r="Z3" s="314" t="s">
        <v>132</v>
      </c>
      <c r="AA3" s="314"/>
      <c r="AB3" s="314"/>
      <c r="AC3" s="314"/>
      <c r="AD3" s="314"/>
      <c r="AE3" s="314"/>
      <c r="AF3" s="344"/>
      <c r="AG3" s="197">
        <f>LARGE(AF14:AF33,1)</f>
        <v>0</v>
      </c>
      <c r="AJ3" s="163"/>
      <c r="AK3" s="163"/>
      <c r="AL3" s="352" t="str">
        <f>IF(AQ5="n","MOVE TO EXCLUDE CANDIDATE FORM",IF(AQ5="y","MOVE TO TRANSFER OF SURPLUS VOTES FORM",0))</f>
        <v>MOVE TO EXCLUDE CANDIDATE FORM</v>
      </c>
      <c r="AM3" s="353"/>
      <c r="AN3" s="353"/>
      <c r="AO3" s="353"/>
      <c r="AP3" s="353"/>
      <c r="AQ3" s="354"/>
      <c r="AZ3" s="10" t="str">
        <f>'Verification of Boxes'!A3</f>
        <v>District Electoral Area of</v>
      </c>
      <c r="BI3" s="345" t="s">
        <v>131</v>
      </c>
      <c r="BJ3" s="346"/>
      <c r="BK3" s="347"/>
      <c r="BR3" s="81" t="s">
        <v>133</v>
      </c>
      <c r="BS3" s="82"/>
      <c r="BT3" s="348" t="s">
        <v>50</v>
      </c>
      <c r="BU3" s="349"/>
      <c r="BV3" s="349"/>
      <c r="BW3" s="349"/>
      <c r="BX3" s="349"/>
      <c r="BY3" s="349"/>
      <c r="BZ3" s="350"/>
    </row>
    <row r="4" spans="1:105" ht="30.75" customHeight="1" thickBot="1" x14ac:dyDescent="0.45">
      <c r="A4" s="10"/>
      <c r="C4" s="3" t="s">
        <v>99</v>
      </c>
      <c r="D4" s="131">
        <f>'Verification of Boxes'!L3</f>
        <v>7595</v>
      </c>
      <c r="E4" s="308" t="s">
        <v>100</v>
      </c>
      <c r="F4" s="307"/>
      <c r="G4" s="67">
        <f>D4-J3</f>
        <v>7496</v>
      </c>
      <c r="H4" s="306" t="s">
        <v>101</v>
      </c>
      <c r="I4" s="307"/>
      <c r="J4" s="132">
        <f>'Verification of Boxes'!L5</f>
        <v>45.106307162370825</v>
      </c>
      <c r="O4" s="345" t="s">
        <v>244</v>
      </c>
      <c r="P4" s="346"/>
      <c r="Q4" s="346"/>
      <c r="R4" s="346"/>
      <c r="S4" s="347"/>
      <c r="U4" s="311" t="str">
        <f>IF(33="ERROR","DO NOT MOVE TO NEXT STAGE","OK TO MOVE TO NEXT STAGE")</f>
        <v>OK TO MOVE TO NEXT STAGE</v>
      </c>
      <c r="V4" s="311"/>
      <c r="W4" s="311"/>
      <c r="Z4" s="314" t="s">
        <v>67</v>
      </c>
      <c r="AA4" s="314"/>
      <c r="AB4" s="314"/>
      <c r="AC4" s="314"/>
      <c r="AD4" s="314"/>
      <c r="AE4" s="314"/>
      <c r="AF4" s="344"/>
      <c r="AG4" s="198">
        <f>'Verification of Boxes'!G4</f>
        <v>1071</v>
      </c>
      <c r="AZ4" s="77" t="str">
        <f>'Verification of Boxes'!B3</f>
        <v>Lisburn South</v>
      </c>
      <c r="BE4" s="111" t="s">
        <v>135</v>
      </c>
      <c r="BF4" s="112" t="s">
        <v>136</v>
      </c>
      <c r="BG4" s="113" t="s">
        <v>137</v>
      </c>
      <c r="BH4" s="149" t="s">
        <v>138</v>
      </c>
      <c r="BI4" s="91" t="s">
        <v>139</v>
      </c>
      <c r="BJ4" s="91" t="s">
        <v>140</v>
      </c>
      <c r="BR4" t="s">
        <v>141</v>
      </c>
    </row>
    <row r="5" spans="1:105" ht="24.75" customHeight="1" thickBot="1" x14ac:dyDescent="0.45">
      <c r="A5" s="10"/>
      <c r="O5" s="102"/>
      <c r="P5" s="102"/>
      <c r="Q5" s="102"/>
      <c r="R5" s="25"/>
      <c r="T5" s="74"/>
      <c r="AJ5" s="103" t="s">
        <v>142</v>
      </c>
      <c r="AK5" s="104"/>
      <c r="AL5" s="103" t="s">
        <v>143</v>
      </c>
      <c r="AM5" s="103"/>
      <c r="AN5" s="103"/>
      <c r="AO5" s="104"/>
      <c r="AP5" s="105"/>
      <c r="AQ5" s="196" t="s">
        <v>226</v>
      </c>
      <c r="AT5" s="7" t="str">
        <f>IF(AQ5=0,0,IF(AQ5="Y","T","E"))</f>
        <v>E</v>
      </c>
      <c r="BE5" s="61" t="str">
        <f>'Verification of Boxes'!J10</f>
        <v>EWING</v>
      </c>
      <c r="BF5" s="64"/>
      <c r="BG5" s="100">
        <f t="shared" ref="BG5:BG24" si="0">IF(BC$23&gt;0,BF5*BC$23,BF5*BC$29)</f>
        <v>0</v>
      </c>
      <c r="BH5" s="150"/>
      <c r="BI5" s="5" t="str">
        <f>IF(A11&lt;&gt;0,A11,0)</f>
        <v>Elected</v>
      </c>
      <c r="BJ5" s="5">
        <f>IF(C11=0,0,IF(M11=0,"Excluded",0))</f>
        <v>0</v>
      </c>
      <c r="BP5" s="301" t="s">
        <v>145</v>
      </c>
      <c r="BR5" s="5"/>
      <c r="BS5" s="83" t="s">
        <v>146</v>
      </c>
      <c r="BT5" s="84"/>
      <c r="BU5" s="83" t="s">
        <v>147</v>
      </c>
      <c r="BV5" s="84"/>
      <c r="BW5" s="83" t="s">
        <v>148</v>
      </c>
      <c r="BX5" s="121"/>
      <c r="BY5" s="83" t="s">
        <v>148</v>
      </c>
      <c r="BZ5" s="121"/>
      <c r="CA5" s="83" t="s">
        <v>148</v>
      </c>
      <c r="CB5" s="121"/>
      <c r="CC5" s="83" t="s">
        <v>148</v>
      </c>
      <c r="CD5" s="121"/>
      <c r="CE5" s="203" t="s">
        <v>149</v>
      </c>
    </row>
    <row r="6" spans="1:105" ht="15" customHeight="1" thickBot="1" x14ac:dyDescent="0.45">
      <c r="A6" s="10"/>
      <c r="E6" s="24" t="s">
        <v>94</v>
      </c>
      <c r="F6" s="288" t="s">
        <v>103</v>
      </c>
      <c r="G6" s="290"/>
      <c r="H6" s="288" t="s">
        <v>104</v>
      </c>
      <c r="I6" s="290"/>
      <c r="J6" s="288" t="s">
        <v>105</v>
      </c>
      <c r="K6" s="290"/>
      <c r="L6" s="288" t="s">
        <v>106</v>
      </c>
      <c r="M6" s="290"/>
      <c r="N6" s="288" t="s">
        <v>107</v>
      </c>
      <c r="O6" s="290"/>
      <c r="P6" s="288" t="s">
        <v>108</v>
      </c>
      <c r="Q6" s="290"/>
      <c r="R6" s="288" t="s">
        <v>109</v>
      </c>
      <c r="S6" s="290"/>
      <c r="T6" s="288" t="s">
        <v>110</v>
      </c>
      <c r="U6" s="290"/>
      <c r="V6" s="288" t="s">
        <v>111</v>
      </c>
      <c r="W6" s="290"/>
      <c r="Z6" s="327" t="s">
        <v>245</v>
      </c>
      <c r="AA6" s="328"/>
      <c r="AB6" s="328"/>
      <c r="AC6" s="328"/>
      <c r="AD6" s="328"/>
      <c r="AE6" s="328"/>
      <c r="AF6" s="329"/>
      <c r="AJ6" t="s">
        <v>151</v>
      </c>
      <c r="AK6" s="318" t="s">
        <v>152</v>
      </c>
      <c r="AL6" s="318"/>
      <c r="AM6" s="318"/>
      <c r="AN6" s="318"/>
      <c r="AO6" s="318"/>
      <c r="AP6" s="318"/>
      <c r="AQ6" s="302" t="str">
        <f>IF(AG2&gt;AM21,"Transfer","Exclude")</f>
        <v>Exclude</v>
      </c>
      <c r="AR6" s="302"/>
      <c r="AS6" s="181"/>
      <c r="AT6" s="91"/>
      <c r="AU6" s="91"/>
      <c r="AW6" s="33"/>
      <c r="AX6" s="33"/>
      <c r="AZ6" s="36" t="s">
        <v>107</v>
      </c>
      <c r="BA6" s="245"/>
      <c r="BE6" s="61" t="str">
        <f>'Verification of Boxes'!J11</f>
        <v>FLYNN</v>
      </c>
      <c r="BF6" s="64"/>
      <c r="BG6" s="100">
        <f t="shared" si="0"/>
        <v>0</v>
      </c>
      <c r="BH6" s="150"/>
      <c r="BI6" s="5">
        <f t="shared" ref="BI6:BI24" si="1">IF(A12&lt;&gt;0,A12,0)</f>
        <v>0</v>
      </c>
      <c r="BJ6" s="5">
        <f t="shared" ref="BJ6:BJ24" si="2">IF(C12=0,0,IF(M12=0,"Excluded",0))</f>
        <v>0</v>
      </c>
      <c r="BP6" s="301"/>
      <c r="BR6" s="5"/>
      <c r="BS6" s="7" t="s">
        <v>153</v>
      </c>
      <c r="BT6" s="6">
        <v>1</v>
      </c>
      <c r="BU6" s="7" t="s">
        <v>153</v>
      </c>
      <c r="BV6" s="6">
        <v>1</v>
      </c>
      <c r="BW6" s="120" t="s">
        <v>153</v>
      </c>
      <c r="BX6" s="65">
        <v>0.06</v>
      </c>
      <c r="BY6" s="122" t="s">
        <v>153</v>
      </c>
      <c r="BZ6" s="65">
        <v>0.03</v>
      </c>
      <c r="CA6" s="122" t="s">
        <v>153</v>
      </c>
      <c r="CB6" s="65">
        <v>0.02</v>
      </c>
      <c r="CC6" s="122" t="s">
        <v>153</v>
      </c>
      <c r="CD6" s="65"/>
      <c r="CE6" s="204">
        <f>BS29+BU29+BW29+BY29+CA29+CC29</f>
        <v>514</v>
      </c>
    </row>
    <row r="7" spans="1:105" ht="15" customHeight="1" thickBot="1" x14ac:dyDescent="0.3">
      <c r="D7" s="25"/>
      <c r="E7" s="22"/>
      <c r="F7" s="361" t="str">
        <f>'Stage 2'!F7:G7</f>
        <v>Transfer</v>
      </c>
      <c r="G7" s="362"/>
      <c r="H7" s="361" t="str">
        <f>'Stage 3'!H7:I7</f>
        <v>Exclude</v>
      </c>
      <c r="I7" s="362"/>
      <c r="J7" s="361" t="str">
        <f>'Stage 4'!J7:K7</f>
        <v>Transfer</v>
      </c>
      <c r="K7" s="362"/>
      <c r="L7" s="361" t="str">
        <f>'Stage 5'!L7:M7</f>
        <v>Transfer</v>
      </c>
      <c r="M7" s="362"/>
      <c r="N7" s="361" t="str">
        <f>IF($AT5=0,0,IF($AT5="T",$AZ7,$BR4))</f>
        <v>Exclude</v>
      </c>
      <c r="O7" s="362"/>
      <c r="P7" s="309"/>
      <c r="Q7" s="310"/>
      <c r="R7" s="309"/>
      <c r="S7" s="310"/>
      <c r="T7" s="309"/>
      <c r="U7" s="310"/>
      <c r="V7" s="309"/>
      <c r="W7" s="310"/>
      <c r="Z7" s="330"/>
      <c r="AA7" s="331"/>
      <c r="AB7" s="331"/>
      <c r="AC7" s="331"/>
      <c r="AD7" s="331"/>
      <c r="AE7" s="331"/>
      <c r="AF7" s="332"/>
      <c r="AK7" s="318"/>
      <c r="AL7" s="318"/>
      <c r="AM7" s="318"/>
      <c r="AN7" s="318"/>
      <c r="AO7" s="318"/>
      <c r="AP7" s="318"/>
      <c r="AQ7" s="302"/>
      <c r="AR7" s="302"/>
      <c r="AS7" s="181"/>
      <c r="AZ7" t="s">
        <v>154</v>
      </c>
      <c r="BA7" s="28"/>
      <c r="BE7" s="61" t="str">
        <f>'Verification of Boxes'!J12</f>
        <v>FRENCH</v>
      </c>
      <c r="BF7" s="64"/>
      <c r="BG7" s="100">
        <f t="shared" si="0"/>
        <v>0</v>
      </c>
      <c r="BH7" s="150"/>
      <c r="BI7" s="5" t="str">
        <f t="shared" si="1"/>
        <v>Excluded</v>
      </c>
      <c r="BJ7" s="5">
        <f t="shared" si="2"/>
        <v>0</v>
      </c>
      <c r="BN7" t="s">
        <v>155</v>
      </c>
      <c r="BO7" s="3" t="s">
        <v>156</v>
      </c>
      <c r="BP7" s="351"/>
      <c r="BR7" s="5" t="s">
        <v>157</v>
      </c>
      <c r="BS7" s="5" t="s">
        <v>158</v>
      </c>
      <c r="BT7" s="5" t="s">
        <v>148</v>
      </c>
      <c r="BU7" s="5" t="s">
        <v>158</v>
      </c>
      <c r="BV7" s="5" t="s">
        <v>148</v>
      </c>
      <c r="BW7" s="5" t="s">
        <v>158</v>
      </c>
      <c r="BX7" s="118" t="s">
        <v>148</v>
      </c>
      <c r="BY7" s="5" t="s">
        <v>158</v>
      </c>
      <c r="BZ7" s="118" t="s">
        <v>148</v>
      </c>
      <c r="CA7" s="5" t="s">
        <v>158</v>
      </c>
      <c r="CB7" s="118" t="s">
        <v>148</v>
      </c>
      <c r="CC7" s="5" t="s">
        <v>158</v>
      </c>
      <c r="CD7" s="118" t="s">
        <v>148</v>
      </c>
      <c r="CE7" s="4" t="s">
        <v>159</v>
      </c>
    </row>
    <row r="8" spans="1:105" ht="15" customHeight="1" thickBot="1" x14ac:dyDescent="0.45">
      <c r="D8" s="25"/>
      <c r="E8" s="22"/>
      <c r="F8" s="363" t="str">
        <f>'Stage 2'!F8:G8</f>
        <v>EWING</v>
      </c>
      <c r="G8" s="364"/>
      <c r="H8" s="359" t="str">
        <f>'Stage 3'!H8:I8</f>
        <v xml:space="preserve"> MCEVOY</v>
      </c>
      <c r="I8" s="360"/>
      <c r="J8" s="359" t="str">
        <f>'Stage 4'!J8:K8</f>
        <v>GREHAN</v>
      </c>
      <c r="K8" s="360"/>
      <c r="L8" s="359" t="str">
        <f>'Stage 5'!L8:M8</f>
        <v>GIVAN</v>
      </c>
      <c r="M8" s="360"/>
      <c r="N8" s="359" t="str">
        <f>IF($N7="Transfer",$BA8,$BT3)</f>
        <v>FRENCH</v>
      </c>
      <c r="O8" s="360"/>
      <c r="P8" s="303"/>
      <c r="Q8" s="304"/>
      <c r="R8" s="303"/>
      <c r="S8" s="304"/>
      <c r="T8" s="303"/>
      <c r="U8" s="304"/>
      <c r="V8" s="303"/>
      <c r="W8" s="304"/>
      <c r="AA8" s="3"/>
      <c r="AI8" s="10"/>
      <c r="AJ8" s="10"/>
      <c r="AZ8" s="8" t="s">
        <v>160</v>
      </c>
      <c r="BA8" s="151">
        <f>IF(BE49&lt;&gt;0,BE49,IF(BE50&lt;&gt;0,BE50,IF(BE51&lt;&gt;0,BE51,IF(BE52&lt;&gt;0,BE52,0))))</f>
        <v>0</v>
      </c>
      <c r="BE8" s="61" t="str">
        <f>'Verification of Boxes'!J13</f>
        <v>GIVAN</v>
      </c>
      <c r="BF8" s="64"/>
      <c r="BG8" s="100">
        <f t="shared" si="0"/>
        <v>0</v>
      </c>
      <c r="BH8" s="150"/>
      <c r="BI8" s="5" t="str">
        <f t="shared" si="1"/>
        <v>Elected</v>
      </c>
      <c r="BJ8" s="5">
        <f t="shared" si="2"/>
        <v>0</v>
      </c>
      <c r="BL8" s="3"/>
      <c r="BM8" s="3"/>
      <c r="BN8" s="5" t="str">
        <f>IF(A11&lt;&gt;0,A11,0)</f>
        <v>Elected</v>
      </c>
      <c r="BO8" s="7" t="str">
        <f t="shared" ref="BO8:BO27" si="3">IF(AA14&gt;=$M$3,"Elected",AA14)</f>
        <v>Elected</v>
      </c>
      <c r="BP8" s="66"/>
      <c r="BR8" s="9" t="str">
        <f>'Verification of Boxes'!J10</f>
        <v>EWING</v>
      </c>
      <c r="BS8" s="64"/>
      <c r="BT8" s="5">
        <f t="shared" ref="BT8:BT29" si="4">BS8*BT$6</f>
        <v>0</v>
      </c>
      <c r="BU8" s="64"/>
      <c r="BV8" s="5">
        <f t="shared" ref="BV8:BV29" si="5">BU8*BV$6</f>
        <v>0</v>
      </c>
      <c r="BW8" s="64"/>
      <c r="BX8" s="5">
        <f t="shared" ref="BX8:BX29" si="6">BW8*BX$6</f>
        <v>0</v>
      </c>
      <c r="BY8" s="64"/>
      <c r="BZ8" s="5">
        <f t="shared" ref="BZ8:BZ29" si="7">BY8*BZ$6</f>
        <v>0</v>
      </c>
      <c r="CA8" s="64"/>
      <c r="CB8" s="5">
        <f t="shared" ref="CB8:CB29" si="8">CA8*CB$6</f>
        <v>0</v>
      </c>
      <c r="CC8" s="64"/>
      <c r="CD8" s="5">
        <f t="shared" ref="CD8:CD29" si="9">CC8*CD$6</f>
        <v>0</v>
      </c>
      <c r="CE8" s="5">
        <f t="shared" ref="CE8:CE28" si="10">BT8+BV8+BX8+BZ8+CB8+CD8</f>
        <v>0</v>
      </c>
    </row>
    <row r="9" spans="1:105" ht="15" customHeight="1" thickBot="1" x14ac:dyDescent="0.4">
      <c r="D9" s="25"/>
      <c r="E9" s="23"/>
      <c r="F9" s="288" t="s">
        <v>112</v>
      </c>
      <c r="G9" s="290"/>
      <c r="H9" s="288" t="s">
        <v>112</v>
      </c>
      <c r="I9" s="290"/>
      <c r="J9" s="288" t="s">
        <v>112</v>
      </c>
      <c r="K9" s="290"/>
      <c r="L9" s="288" t="s">
        <v>112</v>
      </c>
      <c r="M9" s="290"/>
      <c r="N9" s="288" t="s">
        <v>112</v>
      </c>
      <c r="O9" s="290"/>
      <c r="P9" s="288" t="s">
        <v>112</v>
      </c>
      <c r="Q9" s="290"/>
      <c r="R9" s="288" t="s">
        <v>112</v>
      </c>
      <c r="S9" s="290"/>
      <c r="T9" s="288" t="s">
        <v>112</v>
      </c>
      <c r="U9" s="290"/>
      <c r="V9" s="115" t="s">
        <v>112</v>
      </c>
      <c r="W9" s="116"/>
      <c r="AA9" s="38"/>
      <c r="AB9" s="38"/>
      <c r="AC9" s="38"/>
      <c r="AJ9" t="s">
        <v>161</v>
      </c>
      <c r="AK9" s="318" t="s">
        <v>162</v>
      </c>
      <c r="AL9" s="318"/>
      <c r="AM9" s="318"/>
      <c r="AN9" s="318"/>
      <c r="AO9" s="318"/>
      <c r="AP9" s="318"/>
      <c r="AQ9" s="315" t="str">
        <f>IF(AT89&lt;&gt;0,"Exclude lowest candidate(s)","Transfer")</f>
        <v>Exclude lowest candidate(s)</v>
      </c>
      <c r="AR9" s="315"/>
      <c r="AS9" s="180"/>
      <c r="AT9" s="91"/>
      <c r="AU9" s="91"/>
      <c r="AW9" s="33"/>
      <c r="AX9" s="33"/>
      <c r="BE9" s="61" t="str">
        <f>'Verification of Boxes'!J14</f>
        <v>GREHAN</v>
      </c>
      <c r="BF9" s="64"/>
      <c r="BG9" s="100">
        <f t="shared" si="0"/>
        <v>0</v>
      </c>
      <c r="BH9" s="150"/>
      <c r="BI9" s="5" t="str">
        <f t="shared" si="1"/>
        <v>Elected</v>
      </c>
      <c r="BJ9" s="5">
        <f t="shared" si="2"/>
        <v>0</v>
      </c>
      <c r="BL9" s="3"/>
      <c r="BM9" s="3"/>
      <c r="BN9" s="5">
        <f t="shared" ref="BN9:BN27" si="11">IF(A12&lt;&gt;0,A12,0)</f>
        <v>0</v>
      </c>
      <c r="BO9" s="7">
        <f t="shared" si="3"/>
        <v>494.94000000000005</v>
      </c>
      <c r="BP9" s="66"/>
      <c r="BR9" s="9" t="str">
        <f>'Verification of Boxes'!J11</f>
        <v>FLYNN</v>
      </c>
      <c r="BS9" s="64">
        <v>176</v>
      </c>
      <c r="BT9" s="5">
        <f t="shared" si="4"/>
        <v>176</v>
      </c>
      <c r="BU9" s="64"/>
      <c r="BV9" s="5">
        <f t="shared" si="5"/>
        <v>0</v>
      </c>
      <c r="BW9" s="64"/>
      <c r="BX9" s="5">
        <f t="shared" si="6"/>
        <v>0</v>
      </c>
      <c r="BY9" s="64">
        <v>5</v>
      </c>
      <c r="BZ9" s="5">
        <f t="shared" si="7"/>
        <v>0.15</v>
      </c>
      <c r="CA9" s="64"/>
      <c r="CB9" s="5">
        <f t="shared" si="8"/>
        <v>0</v>
      </c>
      <c r="CC9" s="64"/>
      <c r="CD9" s="5">
        <f t="shared" si="9"/>
        <v>0</v>
      </c>
      <c r="CE9" s="5">
        <f t="shared" si="10"/>
        <v>176.15</v>
      </c>
    </row>
    <row r="10" spans="1:105" ht="15" customHeight="1" thickBot="1" x14ac:dyDescent="0.3">
      <c r="A10" s="15" t="s">
        <v>113</v>
      </c>
      <c r="B10" s="16" t="s">
        <v>114</v>
      </c>
      <c r="C10" s="16" t="s">
        <v>115</v>
      </c>
      <c r="D10" s="32" t="s">
        <v>116</v>
      </c>
      <c r="E10" s="1" t="s">
        <v>117</v>
      </c>
      <c r="F10" s="115"/>
      <c r="G10" s="116" t="s">
        <v>83</v>
      </c>
      <c r="H10" s="136"/>
      <c r="I10" s="137" t="s">
        <v>83</v>
      </c>
      <c r="J10" s="134"/>
      <c r="K10" s="137" t="s">
        <v>83</v>
      </c>
      <c r="L10" s="136"/>
      <c r="M10" s="137" t="s">
        <v>83</v>
      </c>
      <c r="N10" s="136"/>
      <c r="O10" s="137" t="s">
        <v>83</v>
      </c>
      <c r="P10" s="136"/>
      <c r="Q10" s="137" t="s">
        <v>83</v>
      </c>
      <c r="R10" s="136"/>
      <c r="S10" s="137" t="s">
        <v>83</v>
      </c>
      <c r="T10" s="136"/>
      <c r="U10" s="137" t="s">
        <v>83</v>
      </c>
      <c r="V10" s="136"/>
      <c r="W10" s="137" t="s">
        <v>83</v>
      </c>
      <c r="AK10" s="318"/>
      <c r="AL10" s="318"/>
      <c r="AM10" s="318"/>
      <c r="AN10" s="318"/>
      <c r="AO10" s="318"/>
      <c r="AP10" s="318"/>
      <c r="AQ10" s="315"/>
      <c r="AR10" s="315"/>
      <c r="AS10" s="180"/>
      <c r="AZ10" t="s">
        <v>163</v>
      </c>
      <c r="BA10" s="3" t="s">
        <v>164</v>
      </c>
      <c r="BB10" s="3"/>
      <c r="BC10" s="162"/>
      <c r="BE10" s="61" t="str">
        <f>'Verification of Boxes'!J15</f>
        <v>KENNEDY</v>
      </c>
      <c r="BF10" s="64"/>
      <c r="BG10" s="100">
        <f t="shared" si="0"/>
        <v>0</v>
      </c>
      <c r="BH10" s="150"/>
      <c r="BI10" s="5">
        <f t="shared" si="1"/>
        <v>0</v>
      </c>
      <c r="BJ10" s="5">
        <f t="shared" si="2"/>
        <v>0</v>
      </c>
      <c r="BL10" s="3"/>
      <c r="BM10" s="3"/>
      <c r="BN10" s="5" t="str">
        <f t="shared" si="11"/>
        <v>Excluded</v>
      </c>
      <c r="BO10" s="7">
        <f t="shared" si="3"/>
        <v>477.34</v>
      </c>
      <c r="BP10" s="66" t="s">
        <v>144</v>
      </c>
      <c r="BR10" s="9" t="str">
        <f>'Verification of Boxes'!J12</f>
        <v>FRENCH</v>
      </c>
      <c r="BS10" s="64"/>
      <c r="BT10" s="5">
        <f t="shared" si="4"/>
        <v>0</v>
      </c>
      <c r="BU10" s="64"/>
      <c r="BV10" s="5">
        <f t="shared" si="5"/>
        <v>0</v>
      </c>
      <c r="BW10" s="64"/>
      <c r="BX10" s="5">
        <f t="shared" si="6"/>
        <v>0</v>
      </c>
      <c r="BY10" s="64"/>
      <c r="BZ10" s="5">
        <f t="shared" si="7"/>
        <v>0</v>
      </c>
      <c r="CA10" s="64"/>
      <c r="CB10" s="5">
        <f t="shared" si="8"/>
        <v>0</v>
      </c>
      <c r="CC10" s="64"/>
      <c r="CD10" s="5">
        <f t="shared" si="9"/>
        <v>0</v>
      </c>
      <c r="CE10" s="5">
        <f t="shared" si="10"/>
        <v>0</v>
      </c>
    </row>
    <row r="11" spans="1:105" ht="15" customHeight="1" thickBot="1" x14ac:dyDescent="0.3">
      <c r="A11" s="29" t="str">
        <f>IF('Stage 5'!A11&lt;&gt;0,'Stage 5'!A11,IF(O11&gt;=$M$3,"Elected",IF(BP8&lt;&gt;0,"Excluded",0)))</f>
        <v>Elected</v>
      </c>
      <c r="B11" s="235">
        <f>'Stage 5'!B11</f>
        <v>1</v>
      </c>
      <c r="C11" s="155" t="str">
        <f>'Verification of Boxes'!J10</f>
        <v>EWING</v>
      </c>
      <c r="D11" s="29" t="str">
        <f>'Verification of Boxes'!K10</f>
        <v>D.U.P.</v>
      </c>
      <c r="E11" s="108">
        <f>'Verification of Boxes'!L10</f>
        <v>1139</v>
      </c>
      <c r="F11" s="71">
        <f>'Stage 2'!F11</f>
        <v>-68</v>
      </c>
      <c r="G11" s="135">
        <f>'Stage 2'!G11</f>
        <v>1071</v>
      </c>
      <c r="H11" s="71">
        <f>'Stage 3'!H11</f>
        <v>0</v>
      </c>
      <c r="I11" s="135">
        <f>'Stage 3'!I11</f>
        <v>1071</v>
      </c>
      <c r="J11" s="71">
        <f>'Stage 4'!J11</f>
        <v>0</v>
      </c>
      <c r="K11" s="135">
        <f>'Stage 4'!K11</f>
        <v>1071</v>
      </c>
      <c r="L11" s="71">
        <f>'Stage 5'!L11</f>
        <v>0</v>
      </c>
      <c r="M11" s="135">
        <f>'Stage 5'!M11</f>
        <v>1071</v>
      </c>
      <c r="N11" s="71">
        <f t="shared" ref="N11:N30" si="12">IF($C11&lt;&gt;0,$BK49,0)</f>
        <v>0</v>
      </c>
      <c r="O11" s="27">
        <f t="shared" ref="O11:O31" si="13">IF(N$8=0,0,M11+N11)</f>
        <v>1071</v>
      </c>
      <c r="P11" s="71"/>
      <c r="Q11" s="27">
        <f t="shared" ref="Q11:Q31" si="14">IF(P$8=0,0,O11+P11)</f>
        <v>0</v>
      </c>
      <c r="R11" s="71"/>
      <c r="S11" s="27">
        <f t="shared" ref="S11:S31" si="15">IF(R$8=0,0,Q11+R11)</f>
        <v>0</v>
      </c>
      <c r="T11" s="71"/>
      <c r="U11" s="27">
        <f t="shared" ref="U11:U31" si="16">IF(T$8=0,0,S11+T11)</f>
        <v>0</v>
      </c>
      <c r="V11" s="69"/>
      <c r="W11" s="39">
        <f t="shared" ref="W11:W31" si="17">IF(V$8=0,0,U11+V11)</f>
        <v>0</v>
      </c>
      <c r="AA11" s="3"/>
      <c r="AZ11" t="s">
        <v>67</v>
      </c>
      <c r="BA11" s="3" t="s">
        <v>165</v>
      </c>
      <c r="BB11" s="3"/>
      <c r="BC11" s="1">
        <f>'Verification of Boxes'!G4</f>
        <v>1071</v>
      </c>
      <c r="BE11" s="61" t="str">
        <f>'Verification of Boxes'!J16</f>
        <v>MCEVOY</v>
      </c>
      <c r="BF11" s="64"/>
      <c r="BG11" s="100">
        <f t="shared" si="0"/>
        <v>0</v>
      </c>
      <c r="BH11" s="150"/>
      <c r="BI11" s="5" t="str">
        <f t="shared" si="1"/>
        <v>Excluded</v>
      </c>
      <c r="BJ11" s="5" t="str">
        <f t="shared" si="2"/>
        <v>Excluded</v>
      </c>
      <c r="BL11" s="3"/>
      <c r="BM11" s="3"/>
      <c r="BN11" s="5" t="str">
        <f t="shared" si="11"/>
        <v>Elected</v>
      </c>
      <c r="BO11" s="7" t="str">
        <f t="shared" si="3"/>
        <v>Elected</v>
      </c>
      <c r="BP11" s="66"/>
      <c r="BR11" s="9" t="str">
        <f>'Verification of Boxes'!J13</f>
        <v>GIVAN</v>
      </c>
      <c r="BS11" s="64"/>
      <c r="BT11" s="5">
        <f t="shared" si="4"/>
        <v>0</v>
      </c>
      <c r="BU11" s="64"/>
      <c r="BV11" s="5">
        <f t="shared" si="5"/>
        <v>0</v>
      </c>
      <c r="BW11" s="64"/>
      <c r="BX11" s="5">
        <f t="shared" si="6"/>
        <v>0</v>
      </c>
      <c r="BY11" s="64"/>
      <c r="BZ11" s="5">
        <f t="shared" si="7"/>
        <v>0</v>
      </c>
      <c r="CA11" s="64"/>
      <c r="CB11" s="5">
        <f t="shared" si="8"/>
        <v>0</v>
      </c>
      <c r="CC11" s="64"/>
      <c r="CD11" s="5">
        <f t="shared" si="9"/>
        <v>0</v>
      </c>
      <c r="CE11" s="5">
        <f t="shared" si="10"/>
        <v>0</v>
      </c>
    </row>
    <row r="12" spans="1:105" ht="15" customHeight="1" thickBot="1" x14ac:dyDescent="0.4">
      <c r="A12" s="20">
        <f>IF('Stage 5'!A12&lt;&gt;0,'Stage 5'!A12,IF(O12&gt;=$M$3,"Elected",IF(BP9&lt;&gt;0,"Excluded",0)))</f>
        <v>0</v>
      </c>
      <c r="B12" s="235">
        <f>'Stage 5'!B12</f>
        <v>0</v>
      </c>
      <c r="C12" s="119" t="str">
        <f>'Verification of Boxes'!J11</f>
        <v>FLYNN</v>
      </c>
      <c r="D12" s="20" t="str">
        <f>'Verification of Boxes'!K11</f>
        <v>Sinn Féin</v>
      </c>
      <c r="E12" s="109">
        <f>'Verification of Boxes'!L11</f>
        <v>493</v>
      </c>
      <c r="F12" s="71">
        <f>'Stage 2'!F12</f>
        <v>0.42</v>
      </c>
      <c r="G12" s="135">
        <f>'Stage 2'!G12</f>
        <v>493.42</v>
      </c>
      <c r="H12" s="71">
        <f>'Stage 3'!H12</f>
        <v>1</v>
      </c>
      <c r="I12" s="135">
        <f>'Stage 3'!I12</f>
        <v>494.42</v>
      </c>
      <c r="J12" s="71">
        <f>'Stage 4'!J12</f>
        <v>0.48</v>
      </c>
      <c r="K12" s="135">
        <f>'Stage 4'!K12</f>
        <v>494.90000000000003</v>
      </c>
      <c r="L12" s="71">
        <f>'Stage 5'!L12</f>
        <v>0.04</v>
      </c>
      <c r="M12" s="135">
        <f>'Stage 5'!M12</f>
        <v>494.94000000000005</v>
      </c>
      <c r="N12" s="71">
        <f t="shared" si="12"/>
        <v>176.15</v>
      </c>
      <c r="O12" s="27">
        <f t="shared" si="13"/>
        <v>671.09</v>
      </c>
      <c r="P12" s="71"/>
      <c r="Q12" s="27">
        <f t="shared" si="14"/>
        <v>0</v>
      </c>
      <c r="R12" s="71"/>
      <c r="S12" s="27">
        <f t="shared" si="15"/>
        <v>0</v>
      </c>
      <c r="T12" s="71"/>
      <c r="U12" s="27">
        <f t="shared" si="16"/>
        <v>0</v>
      </c>
      <c r="V12" s="69"/>
      <c r="W12" s="39">
        <f t="shared" si="17"/>
        <v>0</v>
      </c>
      <c r="AJ12" s="38"/>
      <c r="AZ12" t="s">
        <v>166</v>
      </c>
      <c r="BA12" s="3" t="s">
        <v>167</v>
      </c>
      <c r="BB12" s="3"/>
      <c r="BC12" s="50">
        <f>AG3</f>
        <v>0</v>
      </c>
      <c r="BE12" s="61" t="str">
        <f>'Verification of Boxes'!J17</f>
        <v>MITCHELL</v>
      </c>
      <c r="BF12" s="64"/>
      <c r="BG12" s="100">
        <f t="shared" si="0"/>
        <v>0</v>
      </c>
      <c r="BH12" s="150"/>
      <c r="BI12" s="5">
        <f t="shared" si="1"/>
        <v>0</v>
      </c>
      <c r="BJ12" s="5">
        <f t="shared" si="2"/>
        <v>0</v>
      </c>
      <c r="BL12" s="3"/>
      <c r="BM12" s="3"/>
      <c r="BN12" s="5" t="str">
        <f t="shared" si="11"/>
        <v>Elected</v>
      </c>
      <c r="BO12" s="7" t="str">
        <f t="shared" si="3"/>
        <v>Elected</v>
      </c>
      <c r="BP12" s="66"/>
      <c r="BR12" s="9" t="str">
        <f>'Verification of Boxes'!J14</f>
        <v>GREHAN</v>
      </c>
      <c r="BS12" s="64"/>
      <c r="BT12" s="5">
        <f t="shared" si="4"/>
        <v>0</v>
      </c>
      <c r="BU12" s="64"/>
      <c r="BV12" s="5">
        <f t="shared" si="5"/>
        <v>0</v>
      </c>
      <c r="BW12" s="64"/>
      <c r="BX12" s="5">
        <f t="shared" si="6"/>
        <v>0</v>
      </c>
      <c r="BY12" s="64"/>
      <c r="BZ12" s="5">
        <f t="shared" si="7"/>
        <v>0</v>
      </c>
      <c r="CA12" s="64"/>
      <c r="CB12" s="5">
        <f t="shared" si="8"/>
        <v>0</v>
      </c>
      <c r="CC12" s="64"/>
      <c r="CD12" s="5">
        <f t="shared" si="9"/>
        <v>0</v>
      </c>
      <c r="CE12" s="5">
        <f t="shared" si="10"/>
        <v>0</v>
      </c>
    </row>
    <row r="13" spans="1:105" ht="15" customHeight="1" thickBot="1" x14ac:dyDescent="0.3">
      <c r="A13" s="20" t="str">
        <f>IF('Stage 5'!A13&lt;&gt;0,'Stage 5'!A13,IF(O13&gt;=$M$3,"Elected",IF(BP10&lt;&gt;0,"Excluded",0)))</f>
        <v>Excluded</v>
      </c>
      <c r="B13" s="235">
        <f>'Stage 5'!B13</f>
        <v>0</v>
      </c>
      <c r="C13" s="119" t="str">
        <f>'Verification of Boxes'!J12</f>
        <v>FRENCH</v>
      </c>
      <c r="D13" s="20" t="str">
        <f>'Verification of Boxes'!K12</f>
        <v xml:space="preserve">SDLP </v>
      </c>
      <c r="E13" s="109">
        <f>'Verification of Boxes'!L12</f>
        <v>472</v>
      </c>
      <c r="F13" s="71">
        <f>'Stage 2'!F13</f>
        <v>0.42</v>
      </c>
      <c r="G13" s="135">
        <f>'Stage 2'!G13</f>
        <v>472.42</v>
      </c>
      <c r="H13" s="71">
        <f>'Stage 3'!H13</f>
        <v>4</v>
      </c>
      <c r="I13" s="135">
        <f>'Stage 3'!I13</f>
        <v>476.42</v>
      </c>
      <c r="J13" s="71">
        <f>'Stage 4'!J13</f>
        <v>0.89999999999999991</v>
      </c>
      <c r="K13" s="135">
        <f>'Stage 4'!K13</f>
        <v>477.32</v>
      </c>
      <c r="L13" s="71">
        <f>'Stage 5'!L13</f>
        <v>0.02</v>
      </c>
      <c r="M13" s="135">
        <f>'Stage 5'!M13</f>
        <v>477.34</v>
      </c>
      <c r="N13" s="71">
        <f t="shared" si="12"/>
        <v>-477.34</v>
      </c>
      <c r="O13" s="27">
        <f t="shared" si="13"/>
        <v>0</v>
      </c>
      <c r="P13" s="71"/>
      <c r="Q13" s="27">
        <f t="shared" si="14"/>
        <v>0</v>
      </c>
      <c r="R13" s="71"/>
      <c r="S13" s="27">
        <f t="shared" si="15"/>
        <v>0</v>
      </c>
      <c r="T13" s="71"/>
      <c r="U13" s="27">
        <f t="shared" si="16"/>
        <v>0</v>
      </c>
      <c r="V13" s="69"/>
      <c r="W13" s="39">
        <f t="shared" si="17"/>
        <v>0</v>
      </c>
      <c r="Z13" s="15" t="s">
        <v>115</v>
      </c>
      <c r="AA13" s="124" t="s">
        <v>168</v>
      </c>
      <c r="AB13" s="16"/>
      <c r="AC13" s="16" t="s">
        <v>169</v>
      </c>
      <c r="AD13" s="18"/>
      <c r="AE13" s="16" t="s">
        <v>170</v>
      </c>
      <c r="AF13" s="18" t="s">
        <v>171</v>
      </c>
      <c r="AG13" s="14"/>
      <c r="AI13" s="33"/>
      <c r="AJ13" s="86"/>
      <c r="AK13" s="16"/>
      <c r="AL13" s="336" t="s">
        <v>172</v>
      </c>
      <c r="AM13" s="336" t="s">
        <v>169</v>
      </c>
      <c r="AN13" s="336" t="s">
        <v>173</v>
      </c>
      <c r="AO13" s="336" t="s">
        <v>174</v>
      </c>
      <c r="AP13" s="342"/>
      <c r="AQ13" s="336"/>
      <c r="AR13" s="17"/>
      <c r="AZ13" t="s">
        <v>175</v>
      </c>
      <c r="BA13" s="3" t="s">
        <v>176</v>
      </c>
      <c r="BB13" s="3"/>
      <c r="BC13" s="172"/>
      <c r="BE13" s="61" t="str">
        <f>'Verification of Boxes'!J18</f>
        <v>PALMER</v>
      </c>
      <c r="BF13" s="64"/>
      <c r="BG13" s="100">
        <f t="shared" si="0"/>
        <v>0</v>
      </c>
      <c r="BH13" s="150"/>
      <c r="BI13" s="5">
        <f t="shared" si="1"/>
        <v>0</v>
      </c>
      <c r="BJ13" s="5">
        <f t="shared" si="2"/>
        <v>0</v>
      </c>
      <c r="BL13" s="3"/>
      <c r="BM13" s="3"/>
      <c r="BN13" s="5">
        <f t="shared" si="11"/>
        <v>0</v>
      </c>
      <c r="BO13" s="7">
        <f t="shared" si="3"/>
        <v>707.55</v>
      </c>
      <c r="BP13" s="66"/>
      <c r="BR13" s="9" t="str">
        <f>'Verification of Boxes'!J15</f>
        <v>KENNEDY</v>
      </c>
      <c r="BS13" s="182">
        <v>239</v>
      </c>
      <c r="BT13" s="5">
        <f t="shared" si="4"/>
        <v>239</v>
      </c>
      <c r="BU13" s="182">
        <v>2</v>
      </c>
      <c r="BV13" s="5">
        <f t="shared" si="5"/>
        <v>2</v>
      </c>
      <c r="BW13" s="182">
        <v>2</v>
      </c>
      <c r="BX13" s="5">
        <f t="shared" si="6"/>
        <v>0.12</v>
      </c>
      <c r="BY13" s="182">
        <v>20</v>
      </c>
      <c r="BZ13" s="5">
        <f t="shared" si="7"/>
        <v>0.6</v>
      </c>
      <c r="CA13" s="182"/>
      <c r="CB13" s="5">
        <f t="shared" si="8"/>
        <v>0</v>
      </c>
      <c r="CC13" s="182"/>
      <c r="CD13" s="5">
        <f t="shared" si="9"/>
        <v>0</v>
      </c>
      <c r="CE13" s="227">
        <f t="shared" si="10"/>
        <v>241.72</v>
      </c>
    </row>
    <row r="14" spans="1:105" ht="15" customHeight="1" thickBot="1" x14ac:dyDescent="0.3">
      <c r="A14" s="20" t="str">
        <f>IF('Stage 5'!A14&lt;&gt;0,'Stage 5'!A14,IF(O14&gt;=$M$3,"Elected",IF(BP11&lt;&gt;0,"Excluded",0)))</f>
        <v>Elected</v>
      </c>
      <c r="B14" s="235">
        <f>'Stage 5'!B14</f>
        <v>3</v>
      </c>
      <c r="C14" s="119" t="str">
        <f>'Verification of Boxes'!J13</f>
        <v>GIVAN</v>
      </c>
      <c r="D14" s="20" t="str">
        <f>'Verification of Boxes'!K13</f>
        <v>D.U.P.</v>
      </c>
      <c r="E14" s="109">
        <f>'Verification of Boxes'!L13</f>
        <v>1038</v>
      </c>
      <c r="F14" s="71">
        <f>'Stage 2'!F14</f>
        <v>51.6</v>
      </c>
      <c r="G14" s="135">
        <f>'Stage 2'!G14</f>
        <v>1089.5999999999999</v>
      </c>
      <c r="H14" s="71">
        <f>'Stage 3'!H14</f>
        <v>0</v>
      </c>
      <c r="I14" s="135">
        <f>'Stage 3'!I14</f>
        <v>1089.5999999999999</v>
      </c>
      <c r="J14" s="71">
        <f>'Stage 4'!J14</f>
        <v>0</v>
      </c>
      <c r="K14" s="135">
        <f>'Stage 4'!K14</f>
        <v>1089.5999999999999</v>
      </c>
      <c r="L14" s="71">
        <f>'Stage 5'!L14</f>
        <v>-18.599999999999909</v>
      </c>
      <c r="M14" s="135">
        <f>'Stage 5'!M14</f>
        <v>1071</v>
      </c>
      <c r="N14" s="71">
        <f t="shared" si="12"/>
        <v>0</v>
      </c>
      <c r="O14" s="27">
        <f t="shared" si="13"/>
        <v>1071</v>
      </c>
      <c r="P14" s="71"/>
      <c r="Q14" s="27">
        <f t="shared" si="14"/>
        <v>0</v>
      </c>
      <c r="R14" s="71"/>
      <c r="S14" s="27">
        <f t="shared" si="15"/>
        <v>0</v>
      </c>
      <c r="T14" s="71"/>
      <c r="U14" s="27">
        <f t="shared" si="16"/>
        <v>0</v>
      </c>
      <c r="V14" s="69"/>
      <c r="W14" s="39">
        <f t="shared" si="17"/>
        <v>0</v>
      </c>
      <c r="Z14" s="92" t="str">
        <f>'Verification of Boxes'!J10</f>
        <v>EWING</v>
      </c>
      <c r="AA14" s="93">
        <f>M11</f>
        <v>1071</v>
      </c>
      <c r="AB14" s="88"/>
      <c r="AC14" s="99">
        <f t="shared" ref="AC14:AC33" si="18">IF(AA14&gt;0,AA14-AG$4,0)</f>
        <v>0</v>
      </c>
      <c r="AD14" s="123"/>
      <c r="AE14" s="88" t="str">
        <f>IF(Z14=0,0,IF(AA14&gt;=AG$4,"elected",IF(AA14=0,"excluded","continuing")))</f>
        <v>elected</v>
      </c>
      <c r="AF14" s="88">
        <f t="shared" ref="AF14:AF33" si="19">IF(AE14="elected",AC14,0)</f>
        <v>0</v>
      </c>
      <c r="AG14" s="94">
        <f t="shared" ref="AG14:AG33" si="20">IF(AF14=0,0,(IF(AC14&gt;=0,"transfer largest surplus","progress to exclude")))</f>
        <v>0</v>
      </c>
      <c r="AJ14" s="87"/>
      <c r="AL14" s="301"/>
      <c r="AM14" s="301"/>
      <c r="AN14" s="301"/>
      <c r="AO14" s="301"/>
      <c r="AP14" s="316"/>
      <c r="AQ14" s="301"/>
      <c r="AR14" s="169"/>
      <c r="AZ14" t="s">
        <v>177</v>
      </c>
      <c r="BA14" s="3" t="s">
        <v>178</v>
      </c>
      <c r="BB14" s="3"/>
      <c r="BC14" s="162"/>
      <c r="BE14" s="61" t="str">
        <f>'Verification of Boxes'!J19</f>
        <v>PORTER</v>
      </c>
      <c r="BF14" s="64"/>
      <c r="BG14" s="100">
        <f t="shared" si="0"/>
        <v>0</v>
      </c>
      <c r="BH14" s="150"/>
      <c r="BI14" s="5">
        <f t="shared" si="1"/>
        <v>0</v>
      </c>
      <c r="BJ14" s="5">
        <f t="shared" si="2"/>
        <v>0</v>
      </c>
      <c r="BL14" s="3"/>
      <c r="BM14" s="3"/>
      <c r="BN14" s="5" t="str">
        <f t="shared" si="11"/>
        <v>Excluded</v>
      </c>
      <c r="BO14" s="7">
        <f t="shared" si="3"/>
        <v>0</v>
      </c>
      <c r="BP14" s="66"/>
      <c r="BR14" s="9" t="str">
        <f>'Verification of Boxes'!J16</f>
        <v>MCEVOY</v>
      </c>
      <c r="BS14" s="64"/>
      <c r="BT14" s="5">
        <f t="shared" si="4"/>
        <v>0</v>
      </c>
      <c r="BU14" s="64"/>
      <c r="BV14" s="5">
        <f t="shared" si="5"/>
        <v>0</v>
      </c>
      <c r="BW14" s="64"/>
      <c r="BX14" s="5">
        <f t="shared" si="6"/>
        <v>0</v>
      </c>
      <c r="BY14" s="64"/>
      <c r="BZ14" s="5">
        <f t="shared" si="7"/>
        <v>0</v>
      </c>
      <c r="CA14" s="64"/>
      <c r="CB14" s="5">
        <f t="shared" si="8"/>
        <v>0</v>
      </c>
      <c r="CC14" s="64"/>
      <c r="CD14" s="5">
        <f t="shared" si="9"/>
        <v>0</v>
      </c>
      <c r="CE14" s="5">
        <f t="shared" si="10"/>
        <v>0</v>
      </c>
    </row>
    <row r="15" spans="1:105" ht="15" customHeight="1" thickBot="1" x14ac:dyDescent="0.3">
      <c r="A15" s="20" t="str">
        <f>IF('Stage 5'!A15&lt;&gt;0,'Stage 5'!A15,IF(O15&gt;=$M$3,"Elected",IF(BP12&lt;&gt;0,"Excluded",0)))</f>
        <v>Elected</v>
      </c>
      <c r="B15" s="235">
        <f>'Stage 5'!B15</f>
        <v>2</v>
      </c>
      <c r="C15" s="119" t="str">
        <f>'Verification of Boxes'!J14</f>
        <v>GREHAN</v>
      </c>
      <c r="D15" s="20" t="str">
        <f>'Verification of Boxes'!K14</f>
        <v>Alliance Party</v>
      </c>
      <c r="E15" s="109">
        <f>'Verification of Boxes'!L14</f>
        <v>1111</v>
      </c>
      <c r="F15" s="71">
        <f>'Stage 2'!F15</f>
        <v>0</v>
      </c>
      <c r="G15" s="135">
        <f>'Stage 2'!G15</f>
        <v>1111</v>
      </c>
      <c r="H15" s="71">
        <f>'Stage 3'!H15</f>
        <v>0</v>
      </c>
      <c r="I15" s="135">
        <f>'Stage 3'!I15</f>
        <v>1111</v>
      </c>
      <c r="J15" s="71">
        <f>'Stage 4'!J15</f>
        <v>-40</v>
      </c>
      <c r="K15" s="135">
        <f>'Stage 4'!K15</f>
        <v>1071</v>
      </c>
      <c r="L15" s="71">
        <f>'Stage 5'!L15</f>
        <v>0</v>
      </c>
      <c r="M15" s="135">
        <f>'Stage 5'!M15</f>
        <v>1071</v>
      </c>
      <c r="N15" s="71">
        <f t="shared" si="12"/>
        <v>0</v>
      </c>
      <c r="O15" s="27">
        <f t="shared" si="13"/>
        <v>1071</v>
      </c>
      <c r="P15" s="71"/>
      <c r="Q15" s="27">
        <f t="shared" si="14"/>
        <v>0</v>
      </c>
      <c r="R15" s="71"/>
      <c r="S15" s="27">
        <f t="shared" si="15"/>
        <v>0</v>
      </c>
      <c r="T15" s="71"/>
      <c r="U15" s="27">
        <f t="shared" si="16"/>
        <v>0</v>
      </c>
      <c r="V15" s="69"/>
      <c r="W15" s="39">
        <f t="shared" si="17"/>
        <v>0</v>
      </c>
      <c r="Z15" s="95" t="str">
        <f>'Verification of Boxes'!J11</f>
        <v>FLYNN</v>
      </c>
      <c r="AA15" s="37">
        <f>M12</f>
        <v>494.94000000000005</v>
      </c>
      <c r="AB15" s="5"/>
      <c r="AC15" s="100">
        <f t="shared" si="18"/>
        <v>-576.05999999999995</v>
      </c>
      <c r="AD15" s="110"/>
      <c r="AE15" s="5" t="str">
        <f t="shared" ref="AE15:AE33" si="21">IF(Z15=0,0,IF(AA15&gt;=AG$4,"elected",IF(AA15=0,"excluded","continuing")))</f>
        <v>continuing</v>
      </c>
      <c r="AF15" s="5">
        <f t="shared" si="19"/>
        <v>0</v>
      </c>
      <c r="AG15" s="96">
        <f t="shared" si="20"/>
        <v>0</v>
      </c>
      <c r="AJ15" s="87"/>
      <c r="AL15" s="301"/>
      <c r="AM15" s="301"/>
      <c r="AN15" s="301"/>
      <c r="AO15" s="301"/>
      <c r="AP15" s="316"/>
      <c r="AQ15" s="301"/>
      <c r="AR15" s="169"/>
      <c r="BA15" s="3"/>
      <c r="BB15" s="3"/>
      <c r="BC15" s="2"/>
      <c r="BE15" s="61">
        <f>'Verification of Boxes'!J20</f>
        <v>0</v>
      </c>
      <c r="BF15" s="64"/>
      <c r="BG15" s="100">
        <f t="shared" si="0"/>
        <v>0</v>
      </c>
      <c r="BH15" s="150"/>
      <c r="BI15" s="5">
        <f t="shared" si="1"/>
        <v>0</v>
      </c>
      <c r="BJ15" s="5">
        <f t="shared" si="2"/>
        <v>0</v>
      </c>
      <c r="BL15" s="3"/>
      <c r="BM15" s="3"/>
      <c r="BN15" s="5">
        <f t="shared" si="11"/>
        <v>0</v>
      </c>
      <c r="BO15" s="7">
        <f t="shared" si="3"/>
        <v>965.12</v>
      </c>
      <c r="BP15" s="66"/>
      <c r="BR15" s="9" t="str">
        <f>'Verification of Boxes'!J17</f>
        <v>MITCHELL</v>
      </c>
      <c r="BS15" s="64">
        <v>6</v>
      </c>
      <c r="BT15" s="5">
        <f t="shared" si="4"/>
        <v>6</v>
      </c>
      <c r="BU15" s="64"/>
      <c r="BV15" s="5">
        <f t="shared" si="5"/>
        <v>0</v>
      </c>
      <c r="BW15" s="64"/>
      <c r="BX15" s="5">
        <f t="shared" si="6"/>
        <v>0</v>
      </c>
      <c r="BY15" s="64"/>
      <c r="BZ15" s="5">
        <f t="shared" si="7"/>
        <v>0</v>
      </c>
      <c r="CA15" s="64"/>
      <c r="CB15" s="5">
        <f t="shared" si="8"/>
        <v>0</v>
      </c>
      <c r="CC15" s="64"/>
      <c r="CD15" s="5">
        <f t="shared" si="9"/>
        <v>0</v>
      </c>
      <c r="CE15" s="5">
        <f t="shared" si="10"/>
        <v>6</v>
      </c>
    </row>
    <row r="16" spans="1:105" ht="15" customHeight="1" thickBot="1" x14ac:dyDescent="0.3">
      <c r="A16" s="20">
        <f>IF('Stage 5'!A16&lt;&gt;0,'Stage 5'!A16,IF(O16&gt;=$M$3,"Elected",IF(BP13&lt;&gt;0,"Excluded",0)))</f>
        <v>0</v>
      </c>
      <c r="B16" s="235">
        <f>'Stage 5'!B16</f>
        <v>0</v>
      </c>
      <c r="C16" s="119" t="str">
        <f>'Verification of Boxes'!J15</f>
        <v>KENNEDY</v>
      </c>
      <c r="D16" s="20" t="str">
        <f>'Verification of Boxes'!K15</f>
        <v>Alliance Party</v>
      </c>
      <c r="E16" s="109">
        <f>'Verification of Boxes'!L15</f>
        <v>674</v>
      </c>
      <c r="F16" s="71">
        <f>'Stage 2'!F16</f>
        <v>0.24</v>
      </c>
      <c r="G16" s="135">
        <f>'Stage 2'!G16</f>
        <v>674.24</v>
      </c>
      <c r="H16" s="71">
        <f>'Stage 3'!H16</f>
        <v>3.06</v>
      </c>
      <c r="I16" s="135">
        <f>'Stage 3'!I16</f>
        <v>677.3</v>
      </c>
      <c r="J16" s="71">
        <f>'Stage 4'!J16</f>
        <v>30.029999999999998</v>
      </c>
      <c r="K16" s="135">
        <f>'Stage 4'!K16</f>
        <v>707.32999999999993</v>
      </c>
      <c r="L16" s="71">
        <f>'Stage 5'!L16</f>
        <v>0.22</v>
      </c>
      <c r="M16" s="135">
        <f>'Stage 5'!M16</f>
        <v>707.55</v>
      </c>
      <c r="N16" s="71">
        <f t="shared" si="12"/>
        <v>241.72</v>
      </c>
      <c r="O16" s="27">
        <f t="shared" si="13"/>
        <v>949.27</v>
      </c>
      <c r="P16" s="71"/>
      <c r="Q16" s="27">
        <f t="shared" si="14"/>
        <v>0</v>
      </c>
      <c r="R16" s="71"/>
      <c r="S16" s="27">
        <f t="shared" si="15"/>
        <v>0</v>
      </c>
      <c r="T16" s="71"/>
      <c r="U16" s="27">
        <f t="shared" si="16"/>
        <v>0</v>
      </c>
      <c r="V16" s="69"/>
      <c r="W16" s="39">
        <f t="shared" si="17"/>
        <v>0</v>
      </c>
      <c r="Z16" s="95" t="str">
        <f>'Verification of Boxes'!J12</f>
        <v>FRENCH</v>
      </c>
      <c r="AA16" s="37">
        <f t="shared" ref="AA16:AA33" si="22">M13</f>
        <v>477.34</v>
      </c>
      <c r="AB16" s="5"/>
      <c r="AC16" s="100">
        <f t="shared" si="18"/>
        <v>-593.66000000000008</v>
      </c>
      <c r="AD16" s="110"/>
      <c r="AE16" s="5" t="str">
        <f t="shared" si="21"/>
        <v>continuing</v>
      </c>
      <c r="AF16" s="5">
        <f t="shared" si="19"/>
        <v>0</v>
      </c>
      <c r="AG16" s="96">
        <f t="shared" si="20"/>
        <v>0</v>
      </c>
      <c r="AJ16" s="87"/>
      <c r="AL16" s="301"/>
      <c r="AM16" s="301"/>
      <c r="AN16" s="301"/>
      <c r="AO16" s="301"/>
      <c r="AP16" s="316"/>
      <c r="AQ16" s="301"/>
      <c r="AR16" s="169"/>
      <c r="AZ16" t="s">
        <v>179</v>
      </c>
      <c r="BA16" s="3"/>
      <c r="BB16" s="3"/>
      <c r="BC16" s="2"/>
      <c r="BE16" s="61">
        <f>'Verification of Boxes'!J21</f>
        <v>0</v>
      </c>
      <c r="BF16" s="64"/>
      <c r="BG16" s="100">
        <f t="shared" si="0"/>
        <v>0</v>
      </c>
      <c r="BH16" s="150"/>
      <c r="BI16" s="5">
        <f t="shared" si="1"/>
        <v>0</v>
      </c>
      <c r="BJ16" s="5">
        <f t="shared" si="2"/>
        <v>0</v>
      </c>
      <c r="BL16" s="3"/>
      <c r="BM16" s="3"/>
      <c r="BN16" s="5">
        <f t="shared" si="11"/>
        <v>0</v>
      </c>
      <c r="BO16" s="7">
        <f t="shared" si="3"/>
        <v>694.27</v>
      </c>
      <c r="BP16" s="66"/>
      <c r="BR16" s="9" t="str">
        <f>'Verification of Boxes'!J18</f>
        <v>PALMER</v>
      </c>
      <c r="BS16" s="64">
        <v>12</v>
      </c>
      <c r="BT16" s="5">
        <f t="shared" si="4"/>
        <v>12</v>
      </c>
      <c r="BU16" s="64"/>
      <c r="BV16" s="5">
        <f t="shared" si="5"/>
        <v>0</v>
      </c>
      <c r="BW16" s="64">
        <v>1</v>
      </c>
      <c r="BX16" s="5">
        <f t="shared" si="6"/>
        <v>0.06</v>
      </c>
      <c r="BY16" s="64">
        <v>3</v>
      </c>
      <c r="BZ16" s="5">
        <f t="shared" si="7"/>
        <v>0.09</v>
      </c>
      <c r="CA16" s="64"/>
      <c r="CB16" s="5">
        <f t="shared" si="8"/>
        <v>0</v>
      </c>
      <c r="CC16" s="64"/>
      <c r="CD16" s="5">
        <f t="shared" si="9"/>
        <v>0</v>
      </c>
      <c r="CE16" s="5">
        <f t="shared" si="10"/>
        <v>12.15</v>
      </c>
    </row>
    <row r="17" spans="1:83" ht="15" customHeight="1" thickBot="1" x14ac:dyDescent="0.3">
      <c r="A17" s="20" t="str">
        <f>IF('Stage 5'!A17&lt;&gt;0,'Stage 5'!A17,IF(O17&gt;=$M$3,"Elected",IF(BP14&lt;&gt;0,"Excluded",0)))</f>
        <v>Excluded</v>
      </c>
      <c r="B17" s="235">
        <f>'Stage 5'!B17</f>
        <v>0</v>
      </c>
      <c r="C17" s="119" t="str">
        <f>'Verification of Boxes'!J16</f>
        <v>MCEVOY</v>
      </c>
      <c r="D17" s="20" t="str">
        <f>'Verification of Boxes'!K16</f>
        <v xml:space="preserve">TUV </v>
      </c>
      <c r="E17" s="109">
        <f>'Verification of Boxes'!L16</f>
        <v>387</v>
      </c>
      <c r="F17" s="71">
        <f>'Stage 2'!F17</f>
        <v>1.44</v>
      </c>
      <c r="G17" s="135">
        <f>'Stage 2'!G17</f>
        <v>388.44</v>
      </c>
      <c r="H17" s="71">
        <f>'Stage 3'!H17</f>
        <v>-388.44</v>
      </c>
      <c r="I17" s="135">
        <f>'Stage 3'!I17</f>
        <v>0</v>
      </c>
      <c r="J17" s="71">
        <f>'Stage 4'!J17</f>
        <v>0</v>
      </c>
      <c r="K17" s="135">
        <f>'Stage 4'!K17</f>
        <v>0</v>
      </c>
      <c r="L17" s="71">
        <f>'Stage 5'!L17</f>
        <v>0</v>
      </c>
      <c r="M17" s="135">
        <f>'Stage 5'!M17</f>
        <v>0</v>
      </c>
      <c r="N17" s="71">
        <f t="shared" si="12"/>
        <v>0</v>
      </c>
      <c r="O17" s="27">
        <f t="shared" si="13"/>
        <v>0</v>
      </c>
      <c r="P17" s="71"/>
      <c r="Q17" s="27">
        <f t="shared" si="14"/>
        <v>0</v>
      </c>
      <c r="R17" s="71"/>
      <c r="S17" s="27">
        <f t="shared" si="15"/>
        <v>0</v>
      </c>
      <c r="T17" s="71"/>
      <c r="U17" s="27">
        <f t="shared" si="16"/>
        <v>0</v>
      </c>
      <c r="V17" s="69"/>
      <c r="W17" s="39">
        <f t="shared" si="17"/>
        <v>0</v>
      </c>
      <c r="Z17" s="95" t="str">
        <f>'Verification of Boxes'!J13</f>
        <v>GIVAN</v>
      </c>
      <c r="AA17" s="37">
        <f t="shared" si="22"/>
        <v>1071</v>
      </c>
      <c r="AB17" s="5"/>
      <c r="AC17" s="100">
        <f t="shared" si="18"/>
        <v>0</v>
      </c>
      <c r="AD17" s="110"/>
      <c r="AE17" s="5" t="str">
        <f t="shared" si="21"/>
        <v>elected</v>
      </c>
      <c r="AF17" s="5">
        <f t="shared" si="19"/>
        <v>0</v>
      </c>
      <c r="AG17" s="96">
        <f t="shared" si="20"/>
        <v>0</v>
      </c>
      <c r="AJ17" s="87"/>
      <c r="AL17" s="301"/>
      <c r="AM17" s="301"/>
      <c r="AN17" s="301"/>
      <c r="AO17" s="301"/>
      <c r="AP17" s="316"/>
      <c r="AQ17" s="301"/>
      <c r="AR17" s="169"/>
      <c r="BA17" s="3"/>
      <c r="BB17" s="3"/>
      <c r="BC17" s="2"/>
      <c r="BE17" s="61">
        <f>'Verification of Boxes'!J22</f>
        <v>0</v>
      </c>
      <c r="BF17" s="64"/>
      <c r="BG17" s="100">
        <f t="shared" si="0"/>
        <v>0</v>
      </c>
      <c r="BH17" s="150"/>
      <c r="BI17" s="5">
        <f t="shared" si="1"/>
        <v>0</v>
      </c>
      <c r="BJ17" s="5">
        <f t="shared" si="2"/>
        <v>0</v>
      </c>
      <c r="BL17" s="3"/>
      <c r="BM17" s="3"/>
      <c r="BN17" s="5">
        <f t="shared" si="11"/>
        <v>0</v>
      </c>
      <c r="BO17" s="7">
        <f t="shared" si="3"/>
        <v>915.15</v>
      </c>
      <c r="BP17" s="66"/>
      <c r="BR17" s="9" t="str">
        <f>'Verification of Boxes'!J19</f>
        <v>PORTER</v>
      </c>
      <c r="BS17" s="64">
        <v>6</v>
      </c>
      <c r="BT17" s="5">
        <f t="shared" si="4"/>
        <v>6</v>
      </c>
      <c r="BU17" s="64"/>
      <c r="BV17" s="5">
        <f t="shared" si="5"/>
        <v>0</v>
      </c>
      <c r="BW17" s="64"/>
      <c r="BX17" s="5">
        <f t="shared" si="6"/>
        <v>0</v>
      </c>
      <c r="BY17" s="64"/>
      <c r="BZ17" s="5">
        <f t="shared" si="7"/>
        <v>0</v>
      </c>
      <c r="CA17" s="64"/>
      <c r="CB17" s="5">
        <f t="shared" si="8"/>
        <v>0</v>
      </c>
      <c r="CC17" s="64"/>
      <c r="CD17" s="5">
        <f t="shared" si="9"/>
        <v>0</v>
      </c>
      <c r="CE17" s="5">
        <f t="shared" si="10"/>
        <v>6</v>
      </c>
    </row>
    <row r="18" spans="1:83" ht="15" customHeight="1" thickBot="1" x14ac:dyDescent="0.3">
      <c r="A18" s="20">
        <f>IF('Stage 5'!A18&lt;&gt;0,'Stage 5'!A18,IF(O18&gt;=$M$3,"Elected",IF(BP15&lt;&gt;0,"Excluded",0)))</f>
        <v>0</v>
      </c>
      <c r="B18" s="235">
        <f>'Stage 5'!B18</f>
        <v>0</v>
      </c>
      <c r="C18" s="119" t="str">
        <f>'Verification of Boxes'!J17</f>
        <v>MITCHELL</v>
      </c>
      <c r="D18" s="20" t="str">
        <f>'Verification of Boxes'!K17</f>
        <v>UUP</v>
      </c>
      <c r="E18" s="109">
        <f>'Verification of Boxes'!L17</f>
        <v>870</v>
      </c>
      <c r="F18" s="71">
        <f>'Stage 2'!F18</f>
        <v>1.44</v>
      </c>
      <c r="G18" s="135">
        <f>'Stage 2'!G18</f>
        <v>871.44</v>
      </c>
      <c r="H18" s="71">
        <f>'Stage 3'!H18</f>
        <v>91.42</v>
      </c>
      <c r="I18" s="135">
        <f>'Stage 3'!I18</f>
        <v>962.86</v>
      </c>
      <c r="J18" s="71">
        <f>'Stage 4'!J18</f>
        <v>0.72</v>
      </c>
      <c r="K18" s="135">
        <f>'Stage 4'!K18</f>
        <v>963.58</v>
      </c>
      <c r="L18" s="71">
        <f>'Stage 5'!L18</f>
        <v>1.54</v>
      </c>
      <c r="M18" s="135">
        <f>'Stage 5'!M18</f>
        <v>965.12</v>
      </c>
      <c r="N18" s="71">
        <f t="shared" si="12"/>
        <v>6</v>
      </c>
      <c r="O18" s="27">
        <f t="shared" si="13"/>
        <v>971.12</v>
      </c>
      <c r="P18" s="71"/>
      <c r="Q18" s="27">
        <f t="shared" si="14"/>
        <v>0</v>
      </c>
      <c r="R18" s="71"/>
      <c r="S18" s="27">
        <f t="shared" si="15"/>
        <v>0</v>
      </c>
      <c r="T18" s="71"/>
      <c r="U18" s="27">
        <f t="shared" si="16"/>
        <v>0</v>
      </c>
      <c r="V18" s="69"/>
      <c r="W18" s="39">
        <f t="shared" si="17"/>
        <v>0</v>
      </c>
      <c r="Z18" s="95" t="str">
        <f>'Verification of Boxes'!J14</f>
        <v>GREHAN</v>
      </c>
      <c r="AA18" s="37">
        <f t="shared" si="22"/>
        <v>1071</v>
      </c>
      <c r="AB18" s="5"/>
      <c r="AC18" s="100">
        <f t="shared" si="18"/>
        <v>0</v>
      </c>
      <c r="AD18" s="110"/>
      <c r="AE18" s="5" t="str">
        <f t="shared" si="21"/>
        <v>elected</v>
      </c>
      <c r="AF18" s="5">
        <f t="shared" si="19"/>
        <v>0</v>
      </c>
      <c r="AG18" s="96">
        <f t="shared" si="20"/>
        <v>0</v>
      </c>
      <c r="AJ18" s="87"/>
      <c r="AN18" s="301"/>
      <c r="AR18" s="169"/>
      <c r="AZ18" t="s">
        <v>180</v>
      </c>
      <c r="BA18" s="3" t="s">
        <v>181</v>
      </c>
      <c r="BB18" s="3"/>
      <c r="BC18" s="50">
        <f>BF25</f>
        <v>0</v>
      </c>
      <c r="BE18" s="61">
        <f>'Verification of Boxes'!J23</f>
        <v>0</v>
      </c>
      <c r="BF18" s="64"/>
      <c r="BG18" s="100">
        <f t="shared" si="0"/>
        <v>0</v>
      </c>
      <c r="BH18" s="150"/>
      <c r="BI18" s="5">
        <f t="shared" si="1"/>
        <v>0</v>
      </c>
      <c r="BJ18" s="5">
        <f t="shared" si="2"/>
        <v>0</v>
      </c>
      <c r="BL18" s="3"/>
      <c r="BM18" s="3"/>
      <c r="BN18" s="5">
        <f t="shared" si="11"/>
        <v>0</v>
      </c>
      <c r="BO18" s="7">
        <f t="shared" si="3"/>
        <v>0</v>
      </c>
      <c r="BP18" s="66"/>
      <c r="BR18" s="9">
        <f>'Verification of Boxes'!J20</f>
        <v>0</v>
      </c>
      <c r="BS18" s="64"/>
      <c r="BT18" s="5">
        <f t="shared" si="4"/>
        <v>0</v>
      </c>
      <c r="BU18" s="64"/>
      <c r="BV18" s="5">
        <f t="shared" si="5"/>
        <v>0</v>
      </c>
      <c r="BW18" s="64"/>
      <c r="BX18" s="5">
        <f t="shared" si="6"/>
        <v>0</v>
      </c>
      <c r="BY18" s="64"/>
      <c r="BZ18" s="5">
        <f t="shared" si="7"/>
        <v>0</v>
      </c>
      <c r="CA18" s="64"/>
      <c r="CB18" s="5">
        <f t="shared" si="8"/>
        <v>0</v>
      </c>
      <c r="CC18" s="64"/>
      <c r="CD18" s="5">
        <f t="shared" si="9"/>
        <v>0</v>
      </c>
      <c r="CE18" s="5">
        <f t="shared" si="10"/>
        <v>0</v>
      </c>
    </row>
    <row r="19" spans="1:83" ht="15" customHeight="1" thickBot="1" x14ac:dyDescent="0.3">
      <c r="A19" s="20">
        <f>IF('Stage 5'!A19&lt;&gt;0,'Stage 5'!A19,IF(O19&gt;=$M$3,"Elected",IF(BP16&lt;&gt;0,"Excluded",0)))</f>
        <v>0</v>
      </c>
      <c r="B19" s="235">
        <f>'Stage 5'!B19</f>
        <v>0</v>
      </c>
      <c r="C19" s="119" t="str">
        <f>'Verification of Boxes'!J18</f>
        <v>PALMER</v>
      </c>
      <c r="D19" s="20" t="str">
        <f>'Verification of Boxes'!K18</f>
        <v>UUP</v>
      </c>
      <c r="E19" s="109">
        <f>'Verification of Boxes'!L18</f>
        <v>625</v>
      </c>
      <c r="F19" s="71">
        <f>'Stage 2'!F19</f>
        <v>3.42</v>
      </c>
      <c r="G19" s="135">
        <f>'Stage 2'!G19</f>
        <v>628.41999999999996</v>
      </c>
      <c r="H19" s="71">
        <f>'Stage 3'!H19</f>
        <v>64.48</v>
      </c>
      <c r="I19" s="135">
        <f>'Stage 3'!I19</f>
        <v>692.9</v>
      </c>
      <c r="J19" s="71">
        <f>'Stage 4'!J19</f>
        <v>0.69</v>
      </c>
      <c r="K19" s="135">
        <f>'Stage 4'!K19</f>
        <v>693.59</v>
      </c>
      <c r="L19" s="71">
        <f>'Stage 5'!L19</f>
        <v>0.68</v>
      </c>
      <c r="M19" s="135">
        <f>'Stage 5'!M19</f>
        <v>694.27</v>
      </c>
      <c r="N19" s="71">
        <f t="shared" si="12"/>
        <v>12.15</v>
      </c>
      <c r="O19" s="27">
        <f t="shared" si="13"/>
        <v>706.42</v>
      </c>
      <c r="P19" s="71"/>
      <c r="Q19" s="27">
        <f t="shared" si="14"/>
        <v>0</v>
      </c>
      <c r="R19" s="71"/>
      <c r="S19" s="27">
        <f t="shared" si="15"/>
        <v>0</v>
      </c>
      <c r="T19" s="71"/>
      <c r="U19" s="27">
        <f t="shared" si="16"/>
        <v>0</v>
      </c>
      <c r="V19" s="69"/>
      <c r="W19" s="39">
        <f t="shared" si="17"/>
        <v>0</v>
      </c>
      <c r="Z19" s="95" t="str">
        <f>'Verification of Boxes'!J15</f>
        <v>KENNEDY</v>
      </c>
      <c r="AA19" s="37">
        <f t="shared" si="22"/>
        <v>707.55</v>
      </c>
      <c r="AB19" s="5"/>
      <c r="AC19" s="100">
        <f t="shared" si="18"/>
        <v>-363.45000000000005</v>
      </c>
      <c r="AD19" s="110"/>
      <c r="AE19" s="5" t="str">
        <f t="shared" si="21"/>
        <v>continuing</v>
      </c>
      <c r="AF19" s="5">
        <f t="shared" si="19"/>
        <v>0</v>
      </c>
      <c r="AG19" s="96">
        <f t="shared" si="20"/>
        <v>0</v>
      </c>
      <c r="AJ19" s="177"/>
      <c r="AK19" s="178"/>
      <c r="AL19" s="178"/>
      <c r="AM19" s="178"/>
      <c r="AN19" s="343"/>
      <c r="AO19" s="178"/>
      <c r="AP19" s="178"/>
      <c r="AQ19" s="178"/>
      <c r="AR19" s="179"/>
      <c r="AZ19" t="s">
        <v>182</v>
      </c>
      <c r="BA19" s="3" t="s">
        <v>183</v>
      </c>
      <c r="BB19" s="3"/>
      <c r="BC19" s="50">
        <f>BC18*BC14</f>
        <v>0</v>
      </c>
      <c r="BE19" s="61">
        <f>'Verification of Boxes'!J24</f>
        <v>0</v>
      </c>
      <c r="BF19" s="64"/>
      <c r="BG19" s="100">
        <f t="shared" si="0"/>
        <v>0</v>
      </c>
      <c r="BH19" s="150"/>
      <c r="BI19" s="5">
        <f t="shared" si="1"/>
        <v>0</v>
      </c>
      <c r="BJ19" s="5">
        <f t="shared" si="2"/>
        <v>0</v>
      </c>
      <c r="BL19" s="3"/>
      <c r="BM19" s="3"/>
      <c r="BN19" s="5">
        <f t="shared" si="11"/>
        <v>0</v>
      </c>
      <c r="BO19" s="7">
        <f t="shared" si="3"/>
        <v>0</v>
      </c>
      <c r="BP19" s="66"/>
      <c r="BR19" s="9">
        <f>'Verification of Boxes'!J21</f>
        <v>0</v>
      </c>
      <c r="BS19" s="64"/>
      <c r="BT19" s="5">
        <f t="shared" si="4"/>
        <v>0</v>
      </c>
      <c r="BU19" s="64"/>
      <c r="BV19" s="5">
        <f t="shared" si="5"/>
        <v>0</v>
      </c>
      <c r="BW19" s="64"/>
      <c r="BX19" s="5">
        <f t="shared" si="6"/>
        <v>0</v>
      </c>
      <c r="BY19" s="64"/>
      <c r="BZ19" s="5">
        <f t="shared" si="7"/>
        <v>0</v>
      </c>
      <c r="CA19" s="64"/>
      <c r="CB19" s="5">
        <f t="shared" si="8"/>
        <v>0</v>
      </c>
      <c r="CC19" s="64"/>
      <c r="CD19" s="5">
        <f t="shared" si="9"/>
        <v>0</v>
      </c>
      <c r="CE19" s="5">
        <f t="shared" si="10"/>
        <v>0</v>
      </c>
    </row>
    <row r="20" spans="1:83" ht="15" customHeight="1" thickBot="1" x14ac:dyDescent="0.3">
      <c r="A20" s="20">
        <f>IF('Stage 5'!A20&lt;&gt;0,'Stage 5'!A20,IF(O20&gt;=$M$3,"Elected",IF(BP17&lt;&gt;0,"Excluded",0)))</f>
        <v>0</v>
      </c>
      <c r="B20" s="235">
        <f>'Stage 5'!B20</f>
        <v>0</v>
      </c>
      <c r="C20" s="119" t="str">
        <f>'Verification of Boxes'!J19</f>
        <v>PORTER</v>
      </c>
      <c r="D20" s="20" t="str">
        <f>'Verification of Boxes'!K19</f>
        <v>D.U.P.</v>
      </c>
      <c r="E20" s="109">
        <f>'Verification of Boxes'!L19</f>
        <v>687</v>
      </c>
      <c r="F20" s="71">
        <f>'Stage 2'!F20</f>
        <v>9</v>
      </c>
      <c r="G20" s="135">
        <f>'Stage 2'!G20</f>
        <v>696</v>
      </c>
      <c r="H20" s="71">
        <f>'Stage 3'!H20</f>
        <v>204.42</v>
      </c>
      <c r="I20" s="135">
        <f>'Stage 3'!I20</f>
        <v>900.42</v>
      </c>
      <c r="J20" s="71">
        <f>'Stage 4'!J20</f>
        <v>0.39</v>
      </c>
      <c r="K20" s="135">
        <f>'Stage 4'!K20</f>
        <v>900.81</v>
      </c>
      <c r="L20" s="71">
        <f>'Stage 5'!L20</f>
        <v>14.34</v>
      </c>
      <c r="M20" s="135">
        <f>'Stage 5'!M20</f>
        <v>915.15</v>
      </c>
      <c r="N20" s="71">
        <f t="shared" si="12"/>
        <v>6</v>
      </c>
      <c r="O20" s="27">
        <f t="shared" si="13"/>
        <v>921.15</v>
      </c>
      <c r="P20" s="71"/>
      <c r="Q20" s="27">
        <f t="shared" si="14"/>
        <v>0</v>
      </c>
      <c r="R20" s="71"/>
      <c r="S20" s="27">
        <f t="shared" si="15"/>
        <v>0</v>
      </c>
      <c r="T20" s="71"/>
      <c r="U20" s="27">
        <f t="shared" si="16"/>
        <v>0</v>
      </c>
      <c r="V20" s="69"/>
      <c r="W20" s="39">
        <f t="shared" si="17"/>
        <v>0</v>
      </c>
      <c r="Z20" s="95" t="str">
        <f>'Verification of Boxes'!J16</f>
        <v>MCEVOY</v>
      </c>
      <c r="AA20" s="37">
        <f t="shared" si="22"/>
        <v>0</v>
      </c>
      <c r="AB20" s="5"/>
      <c r="AC20" s="100">
        <f t="shared" si="18"/>
        <v>0</v>
      </c>
      <c r="AD20" s="110"/>
      <c r="AE20" s="5" t="str">
        <f t="shared" si="21"/>
        <v>excluded</v>
      </c>
      <c r="AF20" s="5">
        <f t="shared" si="19"/>
        <v>0</v>
      </c>
      <c r="AG20" s="96">
        <f t="shared" si="20"/>
        <v>0</v>
      </c>
      <c r="AJ20" s="339" t="s">
        <v>184</v>
      </c>
      <c r="AK20" s="340"/>
      <c r="AL20" s="142">
        <f>AL46</f>
        <v>477.34</v>
      </c>
      <c r="AM20" s="118"/>
      <c r="AN20" s="142">
        <f>AL20+AG2</f>
        <v>477.34</v>
      </c>
      <c r="AO20" s="334" t="str">
        <f>IF(AN20&gt;AG4,0,IF(AN20&lt;AL21,"Exclude lowest candidate",0))</f>
        <v>Exclude lowest candidate</v>
      </c>
      <c r="AP20" s="335"/>
      <c r="AQ20" s="246">
        <f>IF(AN20&gt;AG4,0,IF(AT20=1,"Exclude 1",0))</f>
        <v>0</v>
      </c>
      <c r="AR20" s="118">
        <f>IF(AN20&gt;AG$4,0,IF(AM21&gt;AN20,"Exclude lowest",0))</f>
        <v>0</v>
      </c>
      <c r="AT20" s="125"/>
      <c r="AU20" s="173"/>
      <c r="AV20" s="173"/>
      <c r="AW20" s="126"/>
      <c r="BA20" s="3"/>
      <c r="BB20" s="3"/>
      <c r="BE20" s="61">
        <f>'Verification of Boxes'!J25</f>
        <v>0</v>
      </c>
      <c r="BF20" s="64"/>
      <c r="BG20" s="100">
        <f t="shared" si="0"/>
        <v>0</v>
      </c>
      <c r="BH20" s="150"/>
      <c r="BI20" s="5">
        <f t="shared" si="1"/>
        <v>0</v>
      </c>
      <c r="BJ20" s="5">
        <f t="shared" si="2"/>
        <v>0</v>
      </c>
      <c r="BL20" s="3"/>
      <c r="BM20" s="3"/>
      <c r="BN20" s="5">
        <f t="shared" si="11"/>
        <v>0</v>
      </c>
      <c r="BO20" s="7">
        <f t="shared" si="3"/>
        <v>0</v>
      </c>
      <c r="BP20" s="66"/>
      <c r="BR20" s="9">
        <f>'Verification of Boxes'!J22</f>
        <v>0</v>
      </c>
      <c r="BS20" s="64"/>
      <c r="BT20" s="5">
        <f t="shared" si="4"/>
        <v>0</v>
      </c>
      <c r="BU20" s="64"/>
      <c r="BV20" s="5">
        <f t="shared" si="5"/>
        <v>0</v>
      </c>
      <c r="BW20" s="64"/>
      <c r="BX20" s="5">
        <f t="shared" si="6"/>
        <v>0</v>
      </c>
      <c r="BY20" s="64"/>
      <c r="BZ20" s="5">
        <f t="shared" si="7"/>
        <v>0</v>
      </c>
      <c r="CA20" s="64"/>
      <c r="CB20" s="5">
        <f t="shared" si="8"/>
        <v>0</v>
      </c>
      <c r="CC20" s="64"/>
      <c r="CD20" s="5">
        <f t="shared" si="9"/>
        <v>0</v>
      </c>
      <c r="CE20" s="5">
        <f t="shared" si="10"/>
        <v>0</v>
      </c>
    </row>
    <row r="21" spans="1:83" ht="15" customHeight="1" thickBot="1" x14ac:dyDescent="0.3">
      <c r="A21" s="20">
        <f>IF('Stage 5'!A21&lt;&gt;0,'Stage 5'!A21,IF(O21&gt;=$M$3,"Elected",IF(BP18&lt;&gt;0,"Excluded",0)))</f>
        <v>0</v>
      </c>
      <c r="B21" s="235">
        <f>'Stage 5'!B21</f>
        <v>0</v>
      </c>
      <c r="C21" s="119">
        <f>'Verification of Boxes'!J20</f>
        <v>0</v>
      </c>
      <c r="D21" s="20">
        <f>'Verification of Boxes'!K20</f>
        <v>0</v>
      </c>
      <c r="E21" s="109">
        <f>'Verification of Boxes'!L20</f>
        <v>0</v>
      </c>
      <c r="F21" s="71">
        <f>'Stage 2'!F21</f>
        <v>0</v>
      </c>
      <c r="G21" s="135">
        <f>'Stage 2'!G21</f>
        <v>0</v>
      </c>
      <c r="H21" s="71">
        <f>'Stage 3'!H21</f>
        <v>0</v>
      </c>
      <c r="I21" s="135">
        <f>'Stage 3'!I21</f>
        <v>0</v>
      </c>
      <c r="J21" s="71">
        <f>'Stage 4'!J21</f>
        <v>0</v>
      </c>
      <c r="K21" s="135">
        <f>'Stage 4'!K21</f>
        <v>0</v>
      </c>
      <c r="L21" s="71">
        <f>'Stage 5'!L21</f>
        <v>0</v>
      </c>
      <c r="M21" s="135">
        <f>'Stage 5'!M21</f>
        <v>0</v>
      </c>
      <c r="N21" s="71">
        <f t="shared" si="12"/>
        <v>0</v>
      </c>
      <c r="O21" s="27">
        <f t="shared" si="13"/>
        <v>0</v>
      </c>
      <c r="P21" s="71"/>
      <c r="Q21" s="27">
        <f t="shared" si="14"/>
        <v>0</v>
      </c>
      <c r="R21" s="71"/>
      <c r="S21" s="27">
        <f t="shared" si="15"/>
        <v>0</v>
      </c>
      <c r="T21" s="71"/>
      <c r="U21" s="27">
        <f t="shared" si="16"/>
        <v>0</v>
      </c>
      <c r="V21" s="69"/>
      <c r="W21" s="39">
        <f t="shared" si="17"/>
        <v>0</v>
      </c>
      <c r="Z21" s="95" t="str">
        <f>'Verification of Boxes'!J17</f>
        <v>MITCHELL</v>
      </c>
      <c r="AA21" s="37">
        <f t="shared" si="22"/>
        <v>965.12</v>
      </c>
      <c r="AB21" s="5"/>
      <c r="AC21" s="100">
        <f t="shared" si="18"/>
        <v>-105.88</v>
      </c>
      <c r="AD21" s="110"/>
      <c r="AE21" s="5" t="str">
        <f t="shared" si="21"/>
        <v>continuing</v>
      </c>
      <c r="AF21" s="5">
        <f t="shared" si="19"/>
        <v>0</v>
      </c>
      <c r="AG21" s="96">
        <f t="shared" si="20"/>
        <v>0</v>
      </c>
      <c r="AJ21" s="341" t="s">
        <v>185</v>
      </c>
      <c r="AK21" s="293"/>
      <c r="AL21" s="37">
        <f>IF(AL20=1000000,0,AN46)</f>
        <v>494.94000000000005</v>
      </c>
      <c r="AM21" s="5">
        <f>AL21-AL20</f>
        <v>17.60000000000008</v>
      </c>
      <c r="AN21" s="5">
        <f>IF(AL21=1000000,0,IF(AN20=0,0,AN20+AL21))</f>
        <v>972.28</v>
      </c>
      <c r="AO21" s="337">
        <f>IF(AN21&gt;AG4,0,IF(AV20&lt;&gt;0,0,IF(AN21&lt;AL22,"Exclude lowest 2 candidates",0)))</f>
        <v>0</v>
      </c>
      <c r="AP21" s="338"/>
      <c r="AQ21" s="247">
        <f>IF(AN21&gt;AG4,0,IF(AT21=2,"Exclude 2",0))</f>
        <v>0</v>
      </c>
      <c r="AR21" s="5">
        <f>IF(AN21&gt;AG$4,0,IF(AM22&gt;AN21,"Exclude - Consider Question 2",0))</f>
        <v>0</v>
      </c>
      <c r="AT21" s="127"/>
      <c r="AW21" s="128"/>
      <c r="AZ21" t="s">
        <v>186</v>
      </c>
      <c r="BA21" s="3"/>
      <c r="BB21" s="3"/>
      <c r="BE21" s="61">
        <f>'Verification of Boxes'!J26</f>
        <v>0</v>
      </c>
      <c r="BF21" s="64"/>
      <c r="BG21" s="100">
        <f t="shared" si="0"/>
        <v>0</v>
      </c>
      <c r="BH21" s="150"/>
      <c r="BI21" s="5">
        <f t="shared" si="1"/>
        <v>0</v>
      </c>
      <c r="BJ21" s="5">
        <f t="shared" si="2"/>
        <v>0</v>
      </c>
      <c r="BL21" s="3"/>
      <c r="BM21" s="3"/>
      <c r="BN21" s="5">
        <f t="shared" si="11"/>
        <v>0</v>
      </c>
      <c r="BO21" s="7">
        <f t="shared" si="3"/>
        <v>0</v>
      </c>
      <c r="BP21" s="66"/>
      <c r="BR21" s="9">
        <f>'Verification of Boxes'!J23</f>
        <v>0</v>
      </c>
      <c r="BS21" s="64"/>
      <c r="BT21" s="5">
        <f t="shared" si="4"/>
        <v>0</v>
      </c>
      <c r="BU21" s="64"/>
      <c r="BV21" s="5">
        <f t="shared" si="5"/>
        <v>0</v>
      </c>
      <c r="BW21" s="64"/>
      <c r="BX21" s="5">
        <f t="shared" si="6"/>
        <v>0</v>
      </c>
      <c r="BY21" s="64"/>
      <c r="BZ21" s="5">
        <f t="shared" si="7"/>
        <v>0</v>
      </c>
      <c r="CA21" s="64"/>
      <c r="CB21" s="5">
        <f t="shared" si="8"/>
        <v>0</v>
      </c>
      <c r="CC21" s="64"/>
      <c r="CD21" s="5">
        <f t="shared" si="9"/>
        <v>0</v>
      </c>
      <c r="CE21" s="5">
        <f t="shared" si="10"/>
        <v>0</v>
      </c>
    </row>
    <row r="22" spans="1:83" ht="15" customHeight="1" thickBot="1" x14ac:dyDescent="0.3">
      <c r="A22" s="20">
        <f>IF('Stage 5'!A22&lt;&gt;0,'Stage 5'!A22,IF(O22&gt;=$M$3,"Elected",IF(BP19&lt;&gt;0,"Excluded",0)))</f>
        <v>0</v>
      </c>
      <c r="B22" s="235">
        <f>'Stage 5'!B22</f>
        <v>0</v>
      </c>
      <c r="C22" s="119">
        <f>'Verification of Boxes'!J21</f>
        <v>0</v>
      </c>
      <c r="D22" s="20">
        <f>'Verification of Boxes'!K21</f>
        <v>0</v>
      </c>
      <c r="E22" s="109">
        <f>'Verification of Boxes'!L21</f>
        <v>0</v>
      </c>
      <c r="F22" s="71">
        <f>'Stage 2'!F22</f>
        <v>0</v>
      </c>
      <c r="G22" s="135">
        <f>'Stage 2'!G22</f>
        <v>0</v>
      </c>
      <c r="H22" s="71">
        <f>'Stage 3'!H22</f>
        <v>0</v>
      </c>
      <c r="I22" s="135">
        <f>'Stage 3'!I22</f>
        <v>0</v>
      </c>
      <c r="J22" s="71">
        <f>'Stage 4'!J22</f>
        <v>0</v>
      </c>
      <c r="K22" s="135">
        <f>'Stage 4'!K22</f>
        <v>0</v>
      </c>
      <c r="L22" s="71">
        <f>'Stage 5'!L22</f>
        <v>0</v>
      </c>
      <c r="M22" s="135">
        <f>'Stage 5'!M22</f>
        <v>0</v>
      </c>
      <c r="N22" s="71">
        <f t="shared" si="12"/>
        <v>0</v>
      </c>
      <c r="O22" s="27">
        <f t="shared" si="13"/>
        <v>0</v>
      </c>
      <c r="P22" s="71"/>
      <c r="Q22" s="27">
        <f t="shared" si="14"/>
        <v>0</v>
      </c>
      <c r="R22" s="71"/>
      <c r="S22" s="27">
        <f t="shared" si="15"/>
        <v>0</v>
      </c>
      <c r="T22" s="71"/>
      <c r="U22" s="27">
        <f t="shared" si="16"/>
        <v>0</v>
      </c>
      <c r="V22" s="69"/>
      <c r="W22" s="39">
        <f t="shared" si="17"/>
        <v>0</v>
      </c>
      <c r="Z22" s="95" t="str">
        <f>'Verification of Boxes'!J18</f>
        <v>PALMER</v>
      </c>
      <c r="AA22" s="37">
        <f t="shared" si="22"/>
        <v>694.27</v>
      </c>
      <c r="AB22" s="5"/>
      <c r="AC22" s="100">
        <f t="shared" si="18"/>
        <v>-376.73</v>
      </c>
      <c r="AD22" s="110"/>
      <c r="AE22" s="5" t="str">
        <f t="shared" si="21"/>
        <v>continuing</v>
      </c>
      <c r="AF22" s="5">
        <f t="shared" si="19"/>
        <v>0</v>
      </c>
      <c r="AG22" s="96">
        <f t="shared" si="20"/>
        <v>0</v>
      </c>
      <c r="AJ22" s="341" t="s">
        <v>185</v>
      </c>
      <c r="AK22" s="293"/>
      <c r="AL22" s="37">
        <f>IF(AL21=1000000,0,AP46)</f>
        <v>694.27</v>
      </c>
      <c r="AM22" s="5">
        <f>IF(AL22=1000000,0,IF(AM21=0,0,AL22-AL21))</f>
        <v>199.32999999999993</v>
      </c>
      <c r="AN22" s="5">
        <f>IF(AL22=1000000,0,IF(AN21=0,0,AN21+AL22))</f>
        <v>1666.55</v>
      </c>
      <c r="AO22" s="337">
        <f>IF(AN22&gt;AG4,0,IF(AV21&lt;&gt;0,0,IF(AN22&lt;AL23,"Exclude lowest 3 candidates",0)))</f>
        <v>0</v>
      </c>
      <c r="AP22" s="338"/>
      <c r="AQ22" s="247">
        <f>IF(AN22&gt;AG4,0,IF(AT22=3,"Exclude 3",0))</f>
        <v>0</v>
      </c>
      <c r="AR22" s="5">
        <f>IF(AN22&gt;AG$4,0,IF(AM23&gt;AN22,"Exclude - Consider Question 2",0))</f>
        <v>0</v>
      </c>
      <c r="AT22" s="127"/>
      <c r="AW22" s="128"/>
      <c r="AZ22" s="312" t="s">
        <v>187</v>
      </c>
      <c r="BA22" s="3"/>
      <c r="BB22" s="3"/>
      <c r="BE22" s="61">
        <f>'Verification of Boxes'!J27</f>
        <v>0</v>
      </c>
      <c r="BF22" s="64"/>
      <c r="BG22" s="100">
        <f t="shared" si="0"/>
        <v>0</v>
      </c>
      <c r="BH22" s="150"/>
      <c r="BI22" s="5">
        <f t="shared" si="1"/>
        <v>0</v>
      </c>
      <c r="BJ22" s="5">
        <f t="shared" si="2"/>
        <v>0</v>
      </c>
      <c r="BL22" s="3"/>
      <c r="BM22" s="3"/>
      <c r="BN22" s="5">
        <f t="shared" si="11"/>
        <v>0</v>
      </c>
      <c r="BO22" s="7">
        <f t="shared" si="3"/>
        <v>0</v>
      </c>
      <c r="BP22" s="66"/>
      <c r="BR22" s="9">
        <f>'Verification of Boxes'!J24</f>
        <v>0</v>
      </c>
      <c r="BS22" s="64"/>
      <c r="BT22" s="5">
        <f t="shared" si="4"/>
        <v>0</v>
      </c>
      <c r="BU22" s="64"/>
      <c r="BV22" s="5">
        <f t="shared" si="5"/>
        <v>0</v>
      </c>
      <c r="BW22" s="64"/>
      <c r="BX22" s="5">
        <f t="shared" si="6"/>
        <v>0</v>
      </c>
      <c r="BY22" s="64"/>
      <c r="BZ22" s="5">
        <f t="shared" si="7"/>
        <v>0</v>
      </c>
      <c r="CA22" s="64"/>
      <c r="CB22" s="5">
        <f t="shared" si="8"/>
        <v>0</v>
      </c>
      <c r="CC22" s="64"/>
      <c r="CD22" s="5">
        <f t="shared" si="9"/>
        <v>0</v>
      </c>
      <c r="CE22" s="5">
        <f t="shared" si="10"/>
        <v>0</v>
      </c>
    </row>
    <row r="23" spans="1:83" ht="15" customHeight="1" thickBot="1" x14ac:dyDescent="0.35">
      <c r="A23" s="20">
        <f>IF('Stage 5'!A23&lt;&gt;0,'Stage 5'!A23,IF(O23&gt;=$M$3,"Elected",IF(BP20&lt;&gt;0,"Excluded",0)))</f>
        <v>0</v>
      </c>
      <c r="B23" s="235">
        <f>'Stage 5'!B23</f>
        <v>0</v>
      </c>
      <c r="C23" s="119">
        <f>'Verification of Boxes'!J22</f>
        <v>0</v>
      </c>
      <c r="D23" s="20">
        <f>'Verification of Boxes'!K22</f>
        <v>0</v>
      </c>
      <c r="E23" s="109">
        <f>'Verification of Boxes'!L22</f>
        <v>0</v>
      </c>
      <c r="F23" s="71">
        <f>'Stage 2'!F23</f>
        <v>0</v>
      </c>
      <c r="G23" s="135">
        <f>'Stage 2'!G23</f>
        <v>0</v>
      </c>
      <c r="H23" s="71">
        <f>'Stage 3'!H23</f>
        <v>0</v>
      </c>
      <c r="I23" s="135">
        <f>'Stage 3'!I23</f>
        <v>0</v>
      </c>
      <c r="J23" s="71">
        <f>'Stage 4'!J23</f>
        <v>0</v>
      </c>
      <c r="K23" s="135">
        <f>'Stage 4'!K23</f>
        <v>0</v>
      </c>
      <c r="L23" s="71">
        <f>'Stage 5'!L23</f>
        <v>0</v>
      </c>
      <c r="M23" s="135">
        <f>'Stage 5'!M23</f>
        <v>0</v>
      </c>
      <c r="N23" s="71">
        <f t="shared" si="12"/>
        <v>0</v>
      </c>
      <c r="O23" s="27">
        <f t="shared" si="13"/>
        <v>0</v>
      </c>
      <c r="P23" s="71"/>
      <c r="Q23" s="27">
        <f t="shared" si="14"/>
        <v>0</v>
      </c>
      <c r="R23" s="71"/>
      <c r="S23" s="27">
        <f t="shared" si="15"/>
        <v>0</v>
      </c>
      <c r="T23" s="71"/>
      <c r="U23" s="27">
        <f t="shared" si="16"/>
        <v>0</v>
      </c>
      <c r="V23" s="69"/>
      <c r="W23" s="39">
        <f t="shared" si="17"/>
        <v>0</v>
      </c>
      <c r="Z23" s="95" t="str">
        <f>'Verification of Boxes'!J19</f>
        <v>PORTER</v>
      </c>
      <c r="AA23" s="37">
        <f t="shared" si="22"/>
        <v>915.15</v>
      </c>
      <c r="AB23" s="5"/>
      <c r="AC23" s="100">
        <f t="shared" si="18"/>
        <v>-155.85000000000002</v>
      </c>
      <c r="AD23" s="110"/>
      <c r="AE23" s="5" t="str">
        <f t="shared" si="21"/>
        <v>continuing</v>
      </c>
      <c r="AF23" s="5">
        <f t="shared" si="19"/>
        <v>0</v>
      </c>
      <c r="AG23" s="96">
        <f t="shared" si="20"/>
        <v>0</v>
      </c>
      <c r="AJ23" s="341" t="s">
        <v>185</v>
      </c>
      <c r="AK23" s="293"/>
      <c r="AL23" s="37">
        <f>IF(AL22=1000000,0,AR46)</f>
        <v>707.55</v>
      </c>
      <c r="AM23" s="5">
        <f>IF(AL23=1000000,0,IF(AM22=0,0,AL23-AL22))</f>
        <v>13.279999999999973</v>
      </c>
      <c r="AN23" s="5">
        <f>IF(AL23=1000000,0,IF(AN22=0,0,AN22+AL23))</f>
        <v>2374.1</v>
      </c>
      <c r="AO23" s="337">
        <f>IF(AN23&gt;AG4,0,IF(AV22&lt;&gt;0,0,IF(AN23&lt;AL24,"Exclude lowest 4 candidates",0)))</f>
        <v>0</v>
      </c>
      <c r="AP23" s="338"/>
      <c r="AQ23" s="247">
        <f>IF(AN23&gt;AG4,0,IF(AT23=4,"Exclude 4",0))</f>
        <v>0</v>
      </c>
      <c r="AR23" s="5">
        <f>IF(AN23&gt;AG$4,0,IF(AM24&gt;AN23,"Exclude - Consider Question 2",0))</f>
        <v>0</v>
      </c>
      <c r="AT23" s="127"/>
      <c r="AW23" s="128"/>
      <c r="AZ23" s="312"/>
      <c r="BA23" s="3" t="s">
        <v>188</v>
      </c>
      <c r="BB23" s="3"/>
      <c r="BC23" s="171">
        <f>IF(BC19&gt;BC12,TRUNC((BC12/BC18),2),0)</f>
        <v>0</v>
      </c>
      <c r="BE23" s="61">
        <f>'Verification of Boxes'!J28</f>
        <v>0</v>
      </c>
      <c r="BF23" s="64"/>
      <c r="BG23" s="100">
        <f t="shared" si="0"/>
        <v>0</v>
      </c>
      <c r="BH23" s="150"/>
      <c r="BI23" s="5">
        <f t="shared" si="1"/>
        <v>0</v>
      </c>
      <c r="BJ23" s="5">
        <f t="shared" si="2"/>
        <v>0</v>
      </c>
      <c r="BL23" s="3"/>
      <c r="BM23" s="3"/>
      <c r="BN23" s="5">
        <f t="shared" si="11"/>
        <v>0</v>
      </c>
      <c r="BO23" s="7">
        <f t="shared" si="3"/>
        <v>0</v>
      </c>
      <c r="BP23" s="66"/>
      <c r="BR23" s="9">
        <f>'Verification of Boxes'!J25</f>
        <v>0</v>
      </c>
      <c r="BS23" s="64"/>
      <c r="BT23" s="5">
        <f t="shared" si="4"/>
        <v>0</v>
      </c>
      <c r="BU23" s="64"/>
      <c r="BV23" s="5">
        <f t="shared" si="5"/>
        <v>0</v>
      </c>
      <c r="BW23" s="64"/>
      <c r="BX23" s="5">
        <f t="shared" si="6"/>
        <v>0</v>
      </c>
      <c r="BY23" s="64"/>
      <c r="BZ23" s="5">
        <f t="shared" si="7"/>
        <v>0</v>
      </c>
      <c r="CA23" s="64"/>
      <c r="CB23" s="5">
        <f t="shared" si="8"/>
        <v>0</v>
      </c>
      <c r="CC23" s="64"/>
      <c r="CD23" s="5">
        <f t="shared" si="9"/>
        <v>0</v>
      </c>
      <c r="CE23" s="5">
        <f t="shared" si="10"/>
        <v>0</v>
      </c>
    </row>
    <row r="24" spans="1:83" ht="15" customHeight="1" thickBot="1" x14ac:dyDescent="0.3">
      <c r="A24" s="20">
        <f>IF('Stage 5'!A24&lt;&gt;0,'Stage 5'!A24,IF(O24&gt;=$M$3,"Elected",IF(BP21&lt;&gt;0,"Excluded",0)))</f>
        <v>0</v>
      </c>
      <c r="B24" s="235">
        <f>'Stage 5'!B24</f>
        <v>0</v>
      </c>
      <c r="C24" s="119">
        <f>'Verification of Boxes'!J23</f>
        <v>0</v>
      </c>
      <c r="D24" s="20">
        <f>'Verification of Boxes'!K23</f>
        <v>0</v>
      </c>
      <c r="E24" s="109">
        <f>'Verification of Boxes'!L23</f>
        <v>0</v>
      </c>
      <c r="F24" s="71">
        <f>'Stage 2'!F24</f>
        <v>0</v>
      </c>
      <c r="G24" s="135">
        <f>'Stage 2'!G24</f>
        <v>0</v>
      </c>
      <c r="H24" s="71">
        <f>'Stage 3'!H24</f>
        <v>0</v>
      </c>
      <c r="I24" s="135">
        <f>'Stage 3'!I24</f>
        <v>0</v>
      </c>
      <c r="J24" s="71">
        <f>'Stage 4'!J24</f>
        <v>0</v>
      </c>
      <c r="K24" s="135">
        <f>'Stage 4'!K24</f>
        <v>0</v>
      </c>
      <c r="L24" s="71">
        <f>'Stage 5'!L24</f>
        <v>0</v>
      </c>
      <c r="M24" s="135">
        <f>'Stage 5'!M24</f>
        <v>0</v>
      </c>
      <c r="N24" s="71">
        <f t="shared" si="12"/>
        <v>0</v>
      </c>
      <c r="O24" s="27">
        <f t="shared" si="13"/>
        <v>0</v>
      </c>
      <c r="P24" s="71"/>
      <c r="Q24" s="27">
        <f t="shared" si="14"/>
        <v>0</v>
      </c>
      <c r="R24" s="71"/>
      <c r="S24" s="27">
        <f t="shared" si="15"/>
        <v>0</v>
      </c>
      <c r="T24" s="71"/>
      <c r="U24" s="27">
        <f t="shared" si="16"/>
        <v>0</v>
      </c>
      <c r="V24" s="69"/>
      <c r="W24" s="39">
        <f t="shared" si="17"/>
        <v>0</v>
      </c>
      <c r="Z24" s="95">
        <f>'Verification of Boxes'!J20</f>
        <v>0</v>
      </c>
      <c r="AA24" s="37">
        <f t="shared" si="22"/>
        <v>0</v>
      </c>
      <c r="AB24" s="5"/>
      <c r="AC24" s="100">
        <f t="shared" si="18"/>
        <v>0</v>
      </c>
      <c r="AD24" s="110"/>
      <c r="AE24" s="5">
        <f t="shared" si="21"/>
        <v>0</v>
      </c>
      <c r="AF24" s="5">
        <f t="shared" si="19"/>
        <v>0</v>
      </c>
      <c r="AG24" s="96">
        <f t="shared" si="20"/>
        <v>0</v>
      </c>
      <c r="AJ24" s="341" t="s">
        <v>185</v>
      </c>
      <c r="AK24" s="293"/>
      <c r="AL24" s="37">
        <f>IF(AR46=1000000,0,AU46)</f>
        <v>915.15</v>
      </c>
      <c r="AM24" s="5">
        <f>IF(AL24=1000000,0,IF(AM23=0,0,AL24-AL23))</f>
        <v>207.60000000000002</v>
      </c>
      <c r="AN24" s="5">
        <f>IF(AL24=1000000,0,IF(AN23=0,0,AN23+AL24))</f>
        <v>3289.25</v>
      </c>
      <c r="AO24" s="337">
        <f>IF(AN24&gt;AG4,0,IF(AV23&lt;&gt;0,0,IF(AN24&lt;AL25,"Exclude lowest 5 candidates",0)))</f>
        <v>0</v>
      </c>
      <c r="AP24" s="338"/>
      <c r="AQ24" s="247">
        <f>IF(AN24&gt;AG4,0,IF(AT24=5,"Exclude 5",0))</f>
        <v>0</v>
      </c>
      <c r="AR24" s="5">
        <f>IF(AN24&gt;AG$4,0,IF(AM25&gt;AN24,"Exclude - Consider Question 2",0))</f>
        <v>0</v>
      </c>
      <c r="AT24" s="127"/>
      <c r="AW24" s="128"/>
      <c r="AZ24" t="s">
        <v>189</v>
      </c>
      <c r="BA24" s="3" t="s">
        <v>190</v>
      </c>
      <c r="BB24" s="3"/>
      <c r="BC24" s="50">
        <f>IF(BC19&gt;BC12,BC18*BC23,0)</f>
        <v>0</v>
      </c>
      <c r="BE24" s="61">
        <f>'Verification of Boxes'!J29</f>
        <v>0</v>
      </c>
      <c r="BF24" s="64"/>
      <c r="BG24" s="100">
        <f t="shared" si="0"/>
        <v>0</v>
      </c>
      <c r="BH24" s="150"/>
      <c r="BI24" s="5">
        <f t="shared" si="1"/>
        <v>0</v>
      </c>
      <c r="BJ24" s="5">
        <f t="shared" si="2"/>
        <v>0</v>
      </c>
      <c r="BL24" s="3"/>
      <c r="BM24" s="3"/>
      <c r="BN24" s="5">
        <f t="shared" si="11"/>
        <v>0</v>
      </c>
      <c r="BO24" s="7">
        <f t="shared" si="3"/>
        <v>0</v>
      </c>
      <c r="BP24" s="66"/>
      <c r="BR24" s="9">
        <f>'Verification of Boxes'!J26</f>
        <v>0</v>
      </c>
      <c r="BS24" s="64"/>
      <c r="BT24" s="5">
        <f t="shared" si="4"/>
        <v>0</v>
      </c>
      <c r="BU24" s="64"/>
      <c r="BV24" s="5">
        <f t="shared" si="5"/>
        <v>0</v>
      </c>
      <c r="BW24" s="64"/>
      <c r="BX24" s="5">
        <f t="shared" si="6"/>
        <v>0</v>
      </c>
      <c r="BY24" s="64"/>
      <c r="BZ24" s="5">
        <f t="shared" si="7"/>
        <v>0</v>
      </c>
      <c r="CA24" s="64"/>
      <c r="CB24" s="5">
        <f t="shared" si="8"/>
        <v>0</v>
      </c>
      <c r="CC24" s="64"/>
      <c r="CD24" s="5">
        <f t="shared" si="9"/>
        <v>0</v>
      </c>
      <c r="CE24" s="5">
        <f t="shared" si="10"/>
        <v>0</v>
      </c>
    </row>
    <row r="25" spans="1:83" ht="15" customHeight="1" thickBot="1" x14ac:dyDescent="0.3">
      <c r="A25" s="20">
        <f>IF('Stage 5'!A25&lt;&gt;0,'Stage 5'!A25,IF(O25&gt;=$M$3,"Elected",IF(BP22&lt;&gt;0,"Excluded",0)))</f>
        <v>0</v>
      </c>
      <c r="B25" s="235">
        <f>'Stage 5'!B25</f>
        <v>0</v>
      </c>
      <c r="C25" s="119">
        <f>'Verification of Boxes'!J24</f>
        <v>0</v>
      </c>
      <c r="D25" s="20">
        <f>'Verification of Boxes'!K24</f>
        <v>0</v>
      </c>
      <c r="E25" s="109">
        <f>'Verification of Boxes'!L24</f>
        <v>0</v>
      </c>
      <c r="F25" s="71">
        <f>'Stage 2'!F25</f>
        <v>0</v>
      </c>
      <c r="G25" s="135">
        <f>'Stage 2'!G25</f>
        <v>0</v>
      </c>
      <c r="H25" s="71">
        <f>'Stage 3'!H25</f>
        <v>0</v>
      </c>
      <c r="I25" s="135">
        <f>'Stage 3'!I25</f>
        <v>0</v>
      </c>
      <c r="J25" s="71">
        <f>'Stage 4'!J25</f>
        <v>0</v>
      </c>
      <c r="K25" s="135">
        <f>'Stage 4'!K25</f>
        <v>0</v>
      </c>
      <c r="L25" s="71">
        <f>'Stage 5'!L25</f>
        <v>0</v>
      </c>
      <c r="M25" s="135">
        <f>'Stage 5'!M25</f>
        <v>0</v>
      </c>
      <c r="N25" s="71">
        <f t="shared" si="12"/>
        <v>0</v>
      </c>
      <c r="O25" s="27">
        <f t="shared" si="13"/>
        <v>0</v>
      </c>
      <c r="P25" s="71"/>
      <c r="Q25" s="27">
        <f t="shared" si="14"/>
        <v>0</v>
      </c>
      <c r="R25" s="71"/>
      <c r="S25" s="27">
        <f t="shared" si="15"/>
        <v>0</v>
      </c>
      <c r="T25" s="71"/>
      <c r="U25" s="27">
        <f t="shared" si="16"/>
        <v>0</v>
      </c>
      <c r="V25" s="69"/>
      <c r="W25" s="39">
        <f t="shared" si="17"/>
        <v>0</v>
      </c>
      <c r="Z25" s="95">
        <f>'Verification of Boxes'!J21</f>
        <v>0</v>
      </c>
      <c r="AA25" s="37">
        <f t="shared" si="22"/>
        <v>0</v>
      </c>
      <c r="AB25" s="5"/>
      <c r="AC25" s="100">
        <f t="shared" si="18"/>
        <v>0</v>
      </c>
      <c r="AD25" s="110"/>
      <c r="AE25" s="5">
        <f t="shared" si="21"/>
        <v>0</v>
      </c>
      <c r="AF25" s="5">
        <f t="shared" si="19"/>
        <v>0</v>
      </c>
      <c r="AG25" s="96">
        <f t="shared" si="20"/>
        <v>0</v>
      </c>
      <c r="AJ25" s="355" t="s">
        <v>185</v>
      </c>
      <c r="AK25" s="356"/>
      <c r="AL25" s="89">
        <f>IF(AL24=1000000,0,AW46)</f>
        <v>965.12</v>
      </c>
      <c r="AM25" s="90">
        <f>IF(AL25=1000000,0,IF(AM24=0,0,AL25-AL24))</f>
        <v>49.970000000000027</v>
      </c>
      <c r="AN25" s="90">
        <f>IF(AL25=1000000,0,IF(AN24=0,0,AN24+AL25))</f>
        <v>4254.37</v>
      </c>
      <c r="AO25" s="357">
        <f>IF(AN25&gt;AG4,0,IF(AV24&lt;&gt;0,0,IF(AN25&lt;AL26,"CHECK ! Exclude lowest 6 candidates",0)))</f>
        <v>0</v>
      </c>
      <c r="AP25" s="358"/>
      <c r="AQ25" s="248">
        <f>IF(AN25&gt;AG4,0,IF(AT25=6,"CHECK !",0))</f>
        <v>0</v>
      </c>
      <c r="AR25" s="5">
        <f>IF(AN25&gt;AG$4,0,IF(AM26&gt;AN25,"Exclude - Consider Question 2",0))</f>
        <v>0</v>
      </c>
      <c r="AT25" s="129"/>
      <c r="AU25" s="174"/>
      <c r="AV25" s="174"/>
      <c r="AW25" s="130"/>
      <c r="AZ25" t="s">
        <v>191</v>
      </c>
      <c r="BA25" s="3" t="s">
        <v>192</v>
      </c>
      <c r="BB25" s="3"/>
      <c r="BC25" s="50">
        <f>IF(BC19&gt;BC12,BC12-BC24,0)</f>
        <v>0</v>
      </c>
      <c r="BE25" s="61" t="s">
        <v>193</v>
      </c>
      <c r="BF25" s="5">
        <f>SUM(BF5:BF24)</f>
        <v>0</v>
      </c>
      <c r="BG25" s="100">
        <f>SUM(BG5:BG24)</f>
        <v>0</v>
      </c>
      <c r="BL25" s="3"/>
      <c r="BM25" s="3"/>
      <c r="BN25" s="5">
        <f t="shared" si="11"/>
        <v>0</v>
      </c>
      <c r="BO25" s="7">
        <f t="shared" si="3"/>
        <v>0</v>
      </c>
      <c r="BP25" s="66"/>
      <c r="BR25" s="9">
        <f>'Verification of Boxes'!J27</f>
        <v>0</v>
      </c>
      <c r="BS25" s="64"/>
      <c r="BT25" s="5">
        <f t="shared" si="4"/>
        <v>0</v>
      </c>
      <c r="BU25" s="64"/>
      <c r="BV25" s="5">
        <f t="shared" si="5"/>
        <v>0</v>
      </c>
      <c r="BW25" s="64"/>
      <c r="BX25" s="5">
        <f t="shared" si="6"/>
        <v>0</v>
      </c>
      <c r="BY25" s="64"/>
      <c r="BZ25" s="5">
        <f t="shared" si="7"/>
        <v>0</v>
      </c>
      <c r="CA25" s="64"/>
      <c r="CB25" s="5">
        <f t="shared" si="8"/>
        <v>0</v>
      </c>
      <c r="CC25" s="64"/>
      <c r="CD25" s="5">
        <f t="shared" si="9"/>
        <v>0</v>
      </c>
      <c r="CE25" s="5">
        <f t="shared" si="10"/>
        <v>0</v>
      </c>
    </row>
    <row r="26" spans="1:83" ht="15" customHeight="1" thickBot="1" x14ac:dyDescent="0.3">
      <c r="A26" s="20">
        <f>IF('Stage 5'!A26&lt;&gt;0,'Stage 5'!A26,IF(O26&gt;=$M$3,"Elected",IF(BP23&lt;&gt;0,"Excluded",0)))</f>
        <v>0</v>
      </c>
      <c r="B26" s="235">
        <f>'Stage 5'!B26</f>
        <v>0</v>
      </c>
      <c r="C26" s="119">
        <f>'Verification of Boxes'!J25</f>
        <v>0</v>
      </c>
      <c r="D26" s="20">
        <f>'Verification of Boxes'!K25</f>
        <v>0</v>
      </c>
      <c r="E26" s="109">
        <f>'Verification of Boxes'!L25</f>
        <v>0</v>
      </c>
      <c r="F26" s="71">
        <f>'Stage 2'!F26</f>
        <v>0</v>
      </c>
      <c r="G26" s="135">
        <f>'Stage 2'!G26</f>
        <v>0</v>
      </c>
      <c r="H26" s="71">
        <f>'Stage 3'!H26</f>
        <v>0</v>
      </c>
      <c r="I26" s="135">
        <f>'Stage 3'!I26</f>
        <v>0</v>
      </c>
      <c r="J26" s="71">
        <f>'Stage 4'!J26</f>
        <v>0</v>
      </c>
      <c r="K26" s="135">
        <f>'Stage 4'!K26</f>
        <v>0</v>
      </c>
      <c r="L26" s="71">
        <f>'Stage 5'!L26</f>
        <v>0</v>
      </c>
      <c r="M26" s="135">
        <f>'Stage 5'!M26</f>
        <v>0</v>
      </c>
      <c r="N26" s="71">
        <f t="shared" si="12"/>
        <v>0</v>
      </c>
      <c r="O26" s="27">
        <f t="shared" si="13"/>
        <v>0</v>
      </c>
      <c r="P26" s="71"/>
      <c r="Q26" s="27">
        <f t="shared" si="14"/>
        <v>0</v>
      </c>
      <c r="R26" s="71"/>
      <c r="S26" s="27">
        <f t="shared" si="15"/>
        <v>0</v>
      </c>
      <c r="T26" s="71"/>
      <c r="U26" s="27">
        <f t="shared" si="16"/>
        <v>0</v>
      </c>
      <c r="V26" s="69"/>
      <c r="W26" s="39">
        <f t="shared" si="17"/>
        <v>0</v>
      </c>
      <c r="Z26" s="95">
        <f>'Verification of Boxes'!J22</f>
        <v>0</v>
      </c>
      <c r="AA26" s="37">
        <f t="shared" si="22"/>
        <v>0</v>
      </c>
      <c r="AB26" s="5"/>
      <c r="AC26" s="100">
        <f t="shared" si="18"/>
        <v>0</v>
      </c>
      <c r="AD26" s="110"/>
      <c r="AE26" s="5">
        <f t="shared" si="21"/>
        <v>0</v>
      </c>
      <c r="AF26" s="5">
        <f t="shared" si="19"/>
        <v>0</v>
      </c>
      <c r="AG26" s="96">
        <f t="shared" si="20"/>
        <v>0</v>
      </c>
      <c r="AT26" s="5"/>
      <c r="AU26" s="118"/>
      <c r="AV26" s="118">
        <f>SUM(AV27:AV32)</f>
        <v>6</v>
      </c>
      <c r="AW26" s="118"/>
      <c r="BA26" s="3"/>
      <c r="BB26" s="3"/>
      <c r="BC26" s="2"/>
      <c r="BE26" s="61" t="s">
        <v>194</v>
      </c>
      <c r="BF26" s="64"/>
      <c r="BG26" s="100">
        <f>IF(AT5="T",BC25+BC31,0)</f>
        <v>0</v>
      </c>
      <c r="BL26" s="3"/>
      <c r="BM26" s="3"/>
      <c r="BN26" s="5">
        <f t="shared" si="11"/>
        <v>0</v>
      </c>
      <c r="BO26" s="7">
        <f t="shared" si="3"/>
        <v>0</v>
      </c>
      <c r="BP26" s="66"/>
      <c r="BR26" s="9">
        <f>'Verification of Boxes'!J28</f>
        <v>0</v>
      </c>
      <c r="BS26" s="64"/>
      <c r="BT26" s="5">
        <f t="shared" si="4"/>
        <v>0</v>
      </c>
      <c r="BU26" s="64"/>
      <c r="BV26" s="5">
        <f t="shared" si="5"/>
        <v>0</v>
      </c>
      <c r="BW26" s="64"/>
      <c r="BX26" s="5">
        <f t="shared" si="6"/>
        <v>0</v>
      </c>
      <c r="BY26" s="64"/>
      <c r="BZ26" s="5">
        <f t="shared" si="7"/>
        <v>0</v>
      </c>
      <c r="CA26" s="64"/>
      <c r="CB26" s="5">
        <f t="shared" si="8"/>
        <v>0</v>
      </c>
      <c r="CC26" s="64"/>
      <c r="CD26" s="5">
        <f t="shared" si="9"/>
        <v>0</v>
      </c>
      <c r="CE26" s="5">
        <f t="shared" si="10"/>
        <v>0</v>
      </c>
    </row>
    <row r="27" spans="1:83" ht="13" thickBot="1" x14ac:dyDescent="0.3">
      <c r="A27" s="20">
        <f>IF('Stage 5'!A27&lt;&gt;0,'Stage 5'!A27,IF(O27&gt;=$M$3,"Elected",IF(BP24&lt;&gt;0,"Excluded",0)))</f>
        <v>0</v>
      </c>
      <c r="B27" s="235">
        <f>'Stage 5'!B27</f>
        <v>0</v>
      </c>
      <c r="C27" s="119">
        <f>'Verification of Boxes'!J26</f>
        <v>0</v>
      </c>
      <c r="D27" s="20">
        <f>'Verification of Boxes'!K26</f>
        <v>0</v>
      </c>
      <c r="E27" s="109">
        <f>'Verification of Boxes'!L26</f>
        <v>0</v>
      </c>
      <c r="F27" s="71">
        <f>'Stage 2'!F27</f>
        <v>0</v>
      </c>
      <c r="G27" s="135">
        <f>'Stage 2'!G27</f>
        <v>0</v>
      </c>
      <c r="H27" s="71">
        <f>'Stage 3'!H27</f>
        <v>0</v>
      </c>
      <c r="I27" s="135">
        <f>'Stage 3'!I27</f>
        <v>0</v>
      </c>
      <c r="J27" s="71">
        <f>'Stage 4'!J27</f>
        <v>0</v>
      </c>
      <c r="K27" s="135">
        <f>'Stage 4'!K27</f>
        <v>0</v>
      </c>
      <c r="L27" s="71">
        <f>'Stage 5'!L27</f>
        <v>0</v>
      </c>
      <c r="M27" s="135">
        <f>'Stage 5'!M27</f>
        <v>0</v>
      </c>
      <c r="N27" s="71">
        <f t="shared" si="12"/>
        <v>0</v>
      </c>
      <c r="O27" s="27">
        <f t="shared" si="13"/>
        <v>0</v>
      </c>
      <c r="P27" s="71"/>
      <c r="Q27" s="27">
        <f t="shared" si="14"/>
        <v>0</v>
      </c>
      <c r="R27" s="71"/>
      <c r="S27" s="27">
        <f t="shared" si="15"/>
        <v>0</v>
      </c>
      <c r="T27" s="71"/>
      <c r="U27" s="27">
        <f t="shared" si="16"/>
        <v>0</v>
      </c>
      <c r="V27" s="69"/>
      <c r="W27" s="39">
        <f t="shared" si="17"/>
        <v>0</v>
      </c>
      <c r="Z27" s="95">
        <f>'Verification of Boxes'!J23</f>
        <v>0</v>
      </c>
      <c r="AA27" s="37">
        <f t="shared" si="22"/>
        <v>0</v>
      </c>
      <c r="AB27" s="5"/>
      <c r="AC27" s="100">
        <f t="shared" si="18"/>
        <v>0</v>
      </c>
      <c r="AD27" s="110"/>
      <c r="AE27" s="5">
        <f t="shared" si="21"/>
        <v>0</v>
      </c>
      <c r="AF27" s="5">
        <f t="shared" si="19"/>
        <v>0</v>
      </c>
      <c r="AG27" s="96">
        <f t="shared" si="20"/>
        <v>0</v>
      </c>
      <c r="AJ27" s="98"/>
      <c r="AK27" s="98"/>
      <c r="AT27" s="5">
        <f>AW27</f>
        <v>0</v>
      </c>
      <c r="AU27" s="5">
        <f t="shared" ref="AU27:AU32" si="23">IF(AO20&lt;&gt;0,1,0)</f>
        <v>1</v>
      </c>
      <c r="AV27" s="5">
        <f>AU27</f>
        <v>1</v>
      </c>
      <c r="AW27" s="5">
        <f t="shared" ref="AW27:AW32" si="24">IF(AN20&lt;AM21,1,0)</f>
        <v>0</v>
      </c>
      <c r="AZ27" t="s">
        <v>195</v>
      </c>
      <c r="BA27" s="3"/>
      <c r="BB27" s="3"/>
      <c r="BC27" s="2"/>
      <c r="BE27" s="51" t="s">
        <v>196</v>
      </c>
      <c r="BF27" s="90">
        <f>BF25+BF26</f>
        <v>0</v>
      </c>
      <c r="BG27" s="101">
        <f>SUM(BG25:BG26)</f>
        <v>0</v>
      </c>
      <c r="BL27" s="3"/>
      <c r="BM27" s="3"/>
      <c r="BN27" s="5">
        <f t="shared" si="11"/>
        <v>0</v>
      </c>
      <c r="BO27" s="7">
        <f t="shared" si="3"/>
        <v>0</v>
      </c>
      <c r="BP27" s="66"/>
      <c r="BR27" s="9">
        <f>'Verification of Boxes'!J29</f>
        <v>0</v>
      </c>
      <c r="BS27" s="117"/>
      <c r="BT27" s="5">
        <f t="shared" si="4"/>
        <v>0</v>
      </c>
      <c r="BU27" s="117"/>
      <c r="BV27" s="5">
        <f t="shared" si="5"/>
        <v>0</v>
      </c>
      <c r="BW27" s="117"/>
      <c r="BX27" s="5">
        <f t="shared" si="6"/>
        <v>0</v>
      </c>
      <c r="BY27" s="117"/>
      <c r="BZ27" s="5">
        <f t="shared" si="7"/>
        <v>0</v>
      </c>
      <c r="CA27" s="117"/>
      <c r="CB27" s="5">
        <f t="shared" si="8"/>
        <v>0</v>
      </c>
      <c r="CC27" s="117"/>
      <c r="CD27" s="5">
        <f t="shared" si="9"/>
        <v>0</v>
      </c>
      <c r="CE27" s="5">
        <f t="shared" si="10"/>
        <v>0</v>
      </c>
    </row>
    <row r="28" spans="1:83" ht="14.25" customHeight="1" thickBot="1" x14ac:dyDescent="0.3">
      <c r="A28" s="20">
        <f>IF('Stage 5'!A28&lt;&gt;0,'Stage 5'!A28,IF(O28&gt;=$M$3,"Elected",IF(BP25&lt;&gt;0,"Excluded",0)))</f>
        <v>0</v>
      </c>
      <c r="B28" s="235">
        <f>'Stage 5'!B28</f>
        <v>0</v>
      </c>
      <c r="C28" s="119">
        <f>'Verification of Boxes'!J27</f>
        <v>0</v>
      </c>
      <c r="D28" s="20">
        <f>'Verification of Boxes'!K27</f>
        <v>0</v>
      </c>
      <c r="E28" s="109">
        <f>'Verification of Boxes'!L27</f>
        <v>0</v>
      </c>
      <c r="F28" s="71">
        <f>'Stage 2'!F28</f>
        <v>0</v>
      </c>
      <c r="G28" s="135">
        <f>'Stage 2'!G28</f>
        <v>0</v>
      </c>
      <c r="H28" s="71">
        <f>'Stage 3'!H28</f>
        <v>0</v>
      </c>
      <c r="I28" s="135">
        <f>'Stage 3'!I28</f>
        <v>0</v>
      </c>
      <c r="J28" s="71">
        <f>'Stage 4'!J28</f>
        <v>0</v>
      </c>
      <c r="K28" s="135">
        <f>'Stage 4'!K28</f>
        <v>0</v>
      </c>
      <c r="L28" s="71">
        <f>'Stage 5'!L28</f>
        <v>0</v>
      </c>
      <c r="M28" s="135">
        <f>'Stage 5'!M28</f>
        <v>0</v>
      </c>
      <c r="N28" s="71">
        <f t="shared" si="12"/>
        <v>0</v>
      </c>
      <c r="O28" s="27">
        <f t="shared" si="13"/>
        <v>0</v>
      </c>
      <c r="P28" s="71"/>
      <c r="Q28" s="27">
        <f t="shared" si="14"/>
        <v>0</v>
      </c>
      <c r="R28" s="71"/>
      <c r="S28" s="27">
        <f t="shared" si="15"/>
        <v>0</v>
      </c>
      <c r="T28" s="71"/>
      <c r="U28" s="27">
        <f t="shared" si="16"/>
        <v>0</v>
      </c>
      <c r="V28" s="69"/>
      <c r="W28" s="39">
        <f t="shared" si="17"/>
        <v>0</v>
      </c>
      <c r="Z28" s="95">
        <f>'Verification of Boxes'!J24</f>
        <v>0</v>
      </c>
      <c r="AA28" s="37">
        <f t="shared" si="22"/>
        <v>0</v>
      </c>
      <c r="AB28" s="5"/>
      <c r="AC28" s="100">
        <f t="shared" si="18"/>
        <v>0</v>
      </c>
      <c r="AD28" s="110"/>
      <c r="AE28" s="5">
        <f t="shared" si="21"/>
        <v>0</v>
      </c>
      <c r="AF28" s="5">
        <f t="shared" si="19"/>
        <v>0</v>
      </c>
      <c r="AG28" s="96">
        <f t="shared" si="20"/>
        <v>0</v>
      </c>
      <c r="AL28" s="327" t="s">
        <v>197</v>
      </c>
      <c r="AM28" s="328"/>
      <c r="AN28" s="328"/>
      <c r="AO28" s="328"/>
      <c r="AP28" s="328"/>
      <c r="AQ28" s="329"/>
      <c r="AT28" s="5">
        <f>AT27+AW28</f>
        <v>0</v>
      </c>
      <c r="AU28" s="5">
        <f t="shared" si="23"/>
        <v>0</v>
      </c>
      <c r="AV28" s="5">
        <f>AV27+AU28</f>
        <v>1</v>
      </c>
      <c r="AW28" s="5">
        <f t="shared" si="24"/>
        <v>0</v>
      </c>
      <c r="BA28" s="3"/>
      <c r="BB28" s="3"/>
      <c r="BC28" s="2"/>
      <c r="BR28" s="19" t="s">
        <v>123</v>
      </c>
      <c r="BS28" s="63">
        <v>33</v>
      </c>
      <c r="BT28" s="119">
        <f t="shared" si="4"/>
        <v>33</v>
      </c>
      <c r="BU28" s="63">
        <v>2</v>
      </c>
      <c r="BV28" s="119">
        <f t="shared" si="5"/>
        <v>2</v>
      </c>
      <c r="BW28" s="63">
        <v>4</v>
      </c>
      <c r="BX28" s="119">
        <f t="shared" si="6"/>
        <v>0.24</v>
      </c>
      <c r="BY28" s="63">
        <v>2</v>
      </c>
      <c r="BZ28" s="119">
        <f t="shared" si="7"/>
        <v>0.06</v>
      </c>
      <c r="CA28" s="63">
        <v>1</v>
      </c>
      <c r="CB28" s="119">
        <f t="shared" si="8"/>
        <v>0.02</v>
      </c>
      <c r="CC28" s="63"/>
      <c r="CD28" s="110">
        <f t="shared" si="9"/>
        <v>0</v>
      </c>
      <c r="CE28" s="5">
        <f t="shared" si="10"/>
        <v>35.320000000000007</v>
      </c>
    </row>
    <row r="29" spans="1:83" ht="13.5" thickBot="1" x14ac:dyDescent="0.35">
      <c r="A29" s="20">
        <f>IF('Stage 5'!A29&lt;&gt;0,'Stage 5'!A29,IF(O29&gt;=$M$3,"Elected",IF(BP26&lt;&gt;0,"Excluded",0)))</f>
        <v>0</v>
      </c>
      <c r="B29" s="235">
        <f>'Stage 5'!B29</f>
        <v>0</v>
      </c>
      <c r="C29" s="119">
        <f>'Verification of Boxes'!J28</f>
        <v>0</v>
      </c>
      <c r="D29" s="20">
        <f>'Verification of Boxes'!K28</f>
        <v>0</v>
      </c>
      <c r="E29" s="109">
        <f>'Verification of Boxes'!L28</f>
        <v>0</v>
      </c>
      <c r="F29" s="71">
        <f>'Stage 2'!F29</f>
        <v>0</v>
      </c>
      <c r="G29" s="135">
        <f>'Stage 2'!G29</f>
        <v>0</v>
      </c>
      <c r="H29" s="71">
        <f>'Stage 3'!H29</f>
        <v>0</v>
      </c>
      <c r="I29" s="135">
        <f>'Stage 3'!I29</f>
        <v>0</v>
      </c>
      <c r="J29" s="71">
        <f>'Stage 4'!J29</f>
        <v>0</v>
      </c>
      <c r="K29" s="135">
        <f>'Stage 4'!K29</f>
        <v>0</v>
      </c>
      <c r="L29" s="71">
        <f>'Stage 5'!L29</f>
        <v>0</v>
      </c>
      <c r="M29" s="135">
        <f>'Stage 5'!M29</f>
        <v>0</v>
      </c>
      <c r="N29" s="71">
        <f t="shared" si="12"/>
        <v>0</v>
      </c>
      <c r="O29" s="27">
        <f t="shared" si="13"/>
        <v>0</v>
      </c>
      <c r="P29" s="71"/>
      <c r="Q29" s="27">
        <f t="shared" si="14"/>
        <v>0</v>
      </c>
      <c r="R29" s="71"/>
      <c r="S29" s="27">
        <f t="shared" si="15"/>
        <v>0</v>
      </c>
      <c r="T29" s="71"/>
      <c r="U29" s="27">
        <f t="shared" si="16"/>
        <v>0</v>
      </c>
      <c r="V29" s="69"/>
      <c r="W29" s="39">
        <f t="shared" si="17"/>
        <v>0</v>
      </c>
      <c r="Z29" s="95">
        <f>'Verification of Boxes'!J25</f>
        <v>0</v>
      </c>
      <c r="AA29" s="37">
        <f t="shared" si="22"/>
        <v>0</v>
      </c>
      <c r="AB29" s="5"/>
      <c r="AC29" s="100">
        <f t="shared" si="18"/>
        <v>0</v>
      </c>
      <c r="AD29" s="110"/>
      <c r="AE29" s="5">
        <f t="shared" si="21"/>
        <v>0</v>
      </c>
      <c r="AF29" s="5">
        <f t="shared" si="19"/>
        <v>0</v>
      </c>
      <c r="AG29" s="96">
        <f t="shared" si="20"/>
        <v>0</v>
      </c>
      <c r="AL29" s="330"/>
      <c r="AM29" s="331"/>
      <c r="AN29" s="331"/>
      <c r="AO29" s="331"/>
      <c r="AP29" s="331"/>
      <c r="AQ29" s="332"/>
      <c r="AT29" s="5">
        <f>AT28+AW29</f>
        <v>0</v>
      </c>
      <c r="AU29" s="5">
        <f t="shared" si="23"/>
        <v>0</v>
      </c>
      <c r="AV29" s="5">
        <f>AV28+AU29</f>
        <v>1</v>
      </c>
      <c r="AW29" s="5">
        <f t="shared" si="24"/>
        <v>0</v>
      </c>
      <c r="AZ29" t="s">
        <v>198</v>
      </c>
      <c r="BA29" s="3" t="s">
        <v>178</v>
      </c>
      <c r="BB29" s="3"/>
      <c r="BC29" s="171">
        <f>IF(BC19&lt;=BC12,BC14,0)</f>
        <v>0</v>
      </c>
      <c r="BE29" s="3" t="s">
        <v>199</v>
      </c>
      <c r="BF29">
        <f>BC13</f>
        <v>0</v>
      </c>
      <c r="BR29" s="5" t="s">
        <v>200</v>
      </c>
      <c r="BS29" s="118">
        <f>SUM(BS8:BS28)</f>
        <v>472</v>
      </c>
      <c r="BT29" s="5">
        <f t="shared" si="4"/>
        <v>472</v>
      </c>
      <c r="BU29" s="118">
        <f>SUM(BU8:BU28)</f>
        <v>4</v>
      </c>
      <c r="BV29" s="5">
        <f t="shared" si="5"/>
        <v>4</v>
      </c>
      <c r="BW29" s="118">
        <f>SUM(BW8:BW28)</f>
        <v>7</v>
      </c>
      <c r="BX29" s="5">
        <f t="shared" si="6"/>
        <v>0.42</v>
      </c>
      <c r="BY29" s="118">
        <f>SUM(BY8:BY28)</f>
        <v>30</v>
      </c>
      <c r="BZ29" s="5">
        <f t="shared" si="7"/>
        <v>0.89999999999999991</v>
      </c>
      <c r="CA29" s="118">
        <f>SUM(CA8:CA28)</f>
        <v>1</v>
      </c>
      <c r="CB29" s="5">
        <f t="shared" si="8"/>
        <v>0.02</v>
      </c>
      <c r="CC29" s="118">
        <f>SUM(CC8:CC28)</f>
        <v>0</v>
      </c>
      <c r="CD29" s="5">
        <f t="shared" si="9"/>
        <v>0</v>
      </c>
      <c r="CE29" s="5">
        <f>SUM(CE8:CE28)</f>
        <v>477.34</v>
      </c>
    </row>
    <row r="30" spans="1:83" ht="14.25" customHeight="1" thickBot="1" x14ac:dyDescent="0.3">
      <c r="A30" s="21">
        <f>IF('Stage 5'!A30&lt;&gt;0,'Stage 5'!A30,IF(O30&gt;=$M$3,"Elected",IF(BP27&lt;&gt;0,"Excluded",0)))</f>
        <v>0</v>
      </c>
      <c r="B30" s="235">
        <f>'Stage 5'!B30</f>
        <v>0</v>
      </c>
      <c r="C30" s="156">
        <f>'Verification of Boxes'!J29</f>
        <v>0</v>
      </c>
      <c r="D30" s="21">
        <f>'Verification of Boxes'!K29</f>
        <v>0</v>
      </c>
      <c r="E30" s="109">
        <f>'Verification of Boxes'!L29</f>
        <v>0</v>
      </c>
      <c r="F30" s="71">
        <f>'Stage 2'!F30</f>
        <v>0</v>
      </c>
      <c r="G30" s="135">
        <f>'Stage 2'!G30</f>
        <v>0</v>
      </c>
      <c r="H30" s="71">
        <f>'Stage 3'!H30</f>
        <v>0</v>
      </c>
      <c r="I30" s="135">
        <f>'Stage 3'!I30</f>
        <v>0</v>
      </c>
      <c r="J30" s="71">
        <f>'Stage 4'!J30</f>
        <v>0</v>
      </c>
      <c r="K30" s="135">
        <f>'Stage 4'!K30</f>
        <v>0</v>
      </c>
      <c r="L30" s="71">
        <f>'Stage 5'!L30</f>
        <v>0</v>
      </c>
      <c r="M30" s="135">
        <f>'Stage 5'!M30</f>
        <v>0</v>
      </c>
      <c r="N30" s="71">
        <f t="shared" si="12"/>
        <v>0</v>
      </c>
      <c r="O30" s="27">
        <f t="shared" si="13"/>
        <v>0</v>
      </c>
      <c r="P30" s="71"/>
      <c r="Q30" s="27">
        <f t="shared" si="14"/>
        <v>0</v>
      </c>
      <c r="R30" s="71"/>
      <c r="S30" s="27">
        <f t="shared" si="15"/>
        <v>0</v>
      </c>
      <c r="T30" s="71"/>
      <c r="U30" s="27">
        <f t="shared" si="16"/>
        <v>0</v>
      </c>
      <c r="V30" s="69"/>
      <c r="W30" s="39">
        <f t="shared" si="17"/>
        <v>0</v>
      </c>
      <c r="Z30" s="95">
        <f>'Verification of Boxes'!J26</f>
        <v>0</v>
      </c>
      <c r="AA30" s="37">
        <f t="shared" si="22"/>
        <v>0</v>
      </c>
      <c r="AB30" s="5"/>
      <c r="AC30" s="100">
        <f t="shared" si="18"/>
        <v>0</v>
      </c>
      <c r="AD30" s="110"/>
      <c r="AE30" s="5">
        <f t="shared" si="21"/>
        <v>0</v>
      </c>
      <c r="AF30" s="5">
        <f t="shared" si="19"/>
        <v>0</v>
      </c>
      <c r="AG30" s="96">
        <f t="shared" si="20"/>
        <v>0</v>
      </c>
      <c r="AL30" s="188"/>
      <c r="AM30" s="188"/>
      <c r="AN30" s="188"/>
      <c r="AO30" s="188"/>
      <c r="AP30" s="188"/>
      <c r="AQ30" s="188"/>
      <c r="AT30" s="5">
        <f>AT29+AW30</f>
        <v>0</v>
      </c>
      <c r="AU30" s="5">
        <f t="shared" si="23"/>
        <v>0</v>
      </c>
      <c r="AV30" s="5">
        <f>AV29+AU30</f>
        <v>1</v>
      </c>
      <c r="AW30" s="5">
        <f t="shared" si="24"/>
        <v>0</v>
      </c>
      <c r="BA30" s="3"/>
      <c r="BB30" s="3"/>
      <c r="BC30" s="2"/>
      <c r="BF30" s="311" t="str">
        <f>IF(BF29-BF27=0,"NONE", BF29-BF27)</f>
        <v>NONE</v>
      </c>
      <c r="BG30" s="311"/>
      <c r="BI30" s="327" t="s">
        <v>246</v>
      </c>
      <c r="BJ30" s="328"/>
      <c r="BK30" s="329"/>
      <c r="BX30" s="333" t="str">
        <f>IF(BW31=BW69,"Calculations OK","Check Count for Error")</f>
        <v>Calculations OK</v>
      </c>
      <c r="BY30" s="333"/>
    </row>
    <row r="31" spans="1:83" ht="16.5" customHeight="1" thickBot="1" x14ac:dyDescent="0.3">
      <c r="D31" s="25" t="s">
        <v>118</v>
      </c>
      <c r="E31" s="189"/>
      <c r="F31" s="71">
        <f>'Stage 2'!F31</f>
        <v>1.9999999999996021E-2</v>
      </c>
      <c r="G31" s="135">
        <f>'Stage 2'!G31</f>
        <v>1.9999999999996021E-2</v>
      </c>
      <c r="H31" s="71">
        <f>'Stage 3'!H31</f>
        <v>20.059999999999999</v>
      </c>
      <c r="I31" s="135">
        <f>'Stage 3'!I31</f>
        <v>20.079999999999995</v>
      </c>
      <c r="J31" s="71">
        <f>'Stage 4'!J31</f>
        <v>6.7899999999999991</v>
      </c>
      <c r="K31" s="135">
        <f>'Stage 4'!K31</f>
        <v>26.869999999999994</v>
      </c>
      <c r="L31" s="71">
        <f>'Stage 5'!L31</f>
        <v>1.7599999999999092</v>
      </c>
      <c r="M31" s="135">
        <f>'Stage 5'!M31</f>
        <v>28.629999999999903</v>
      </c>
      <c r="N31" s="71">
        <f>$BK69</f>
        <v>35.320000000000007</v>
      </c>
      <c r="O31" s="40">
        <f t="shared" si="13"/>
        <v>63.94999999999991</v>
      </c>
      <c r="P31" s="72"/>
      <c r="Q31" s="40">
        <f t="shared" si="14"/>
        <v>0</v>
      </c>
      <c r="R31" s="72"/>
      <c r="S31" s="40">
        <f t="shared" si="15"/>
        <v>0</v>
      </c>
      <c r="T31" s="72"/>
      <c r="U31" s="40">
        <f t="shared" si="16"/>
        <v>0</v>
      </c>
      <c r="V31" s="70"/>
      <c r="W31" s="41">
        <f t="shared" si="17"/>
        <v>0</v>
      </c>
      <c r="Z31" s="95">
        <f>'Verification of Boxes'!J27</f>
        <v>0</v>
      </c>
      <c r="AA31" s="37">
        <f t="shared" si="22"/>
        <v>0</v>
      </c>
      <c r="AB31" s="5"/>
      <c r="AC31" s="100">
        <f t="shared" si="18"/>
        <v>0</v>
      </c>
      <c r="AD31" s="110"/>
      <c r="AE31" s="5">
        <f t="shared" si="21"/>
        <v>0</v>
      </c>
      <c r="AF31" s="5">
        <f t="shared" si="19"/>
        <v>0</v>
      </c>
      <c r="AG31" s="96">
        <f t="shared" si="20"/>
        <v>0</v>
      </c>
      <c r="AL31" s="327" t="s">
        <v>202</v>
      </c>
      <c r="AM31" s="328"/>
      <c r="AN31" s="328"/>
      <c r="AO31" s="328"/>
      <c r="AP31" s="328"/>
      <c r="AQ31" s="329"/>
      <c r="AT31" s="5">
        <f>AT30+AW31</f>
        <v>0</v>
      </c>
      <c r="AU31" s="5">
        <f t="shared" si="23"/>
        <v>0</v>
      </c>
      <c r="AV31" s="5">
        <f>AV30+AU31</f>
        <v>1</v>
      </c>
      <c r="AW31" s="5">
        <f t="shared" si="24"/>
        <v>0</v>
      </c>
      <c r="AZ31" t="s">
        <v>203</v>
      </c>
      <c r="BA31" s="3" t="s">
        <v>204</v>
      </c>
      <c r="BB31" s="3"/>
      <c r="BC31" s="50" t="b">
        <f>IF(AT5=0,0,IF(AT5="T",IF(BC19&lt;=BC12,BC12-BC19,0)))</f>
        <v>0</v>
      </c>
      <c r="BE31" s="133" t="s">
        <v>205</v>
      </c>
      <c r="BF31" s="311"/>
      <c r="BG31" s="311"/>
      <c r="BI31" s="330"/>
      <c r="BJ31" s="331"/>
      <c r="BK31" s="332"/>
      <c r="BP31">
        <f>COUNT(BP8:BP27)</f>
        <v>0</v>
      </c>
      <c r="BV31" t="s">
        <v>119</v>
      </c>
      <c r="BW31" s="5">
        <f>BT29+BV29+BX29+BZ29+CB29+CD29</f>
        <v>477.34</v>
      </c>
      <c r="BX31" s="311"/>
      <c r="BY31" s="311"/>
      <c r="BZ31" s="5">
        <f>BW69-BW31</f>
        <v>0</v>
      </c>
      <c r="CB31" s="327" t="s">
        <v>246</v>
      </c>
      <c r="CC31" s="328"/>
      <c r="CD31" s="328"/>
      <c r="CE31" s="329"/>
    </row>
    <row r="32" spans="1:83" ht="13" thickBot="1" x14ac:dyDescent="0.3">
      <c r="D32" s="42" t="s">
        <v>119</v>
      </c>
      <c r="E32" s="45">
        <f>SUM(E11:E30)</f>
        <v>7496</v>
      </c>
      <c r="F32" s="190"/>
      <c r="G32" s="135">
        <f>'Stage 2'!G32</f>
        <v>7496</v>
      </c>
      <c r="H32" s="191"/>
      <c r="I32" s="135">
        <f>'Stage 3'!I32</f>
        <v>7496</v>
      </c>
      <c r="J32" s="192"/>
      <c r="K32" s="135">
        <f>'Stage 4'!K32</f>
        <v>7495.9999999999991</v>
      </c>
      <c r="L32" s="192"/>
      <c r="M32" s="135">
        <f>'Stage 5'!M32</f>
        <v>7495.9999999999991</v>
      </c>
      <c r="N32" s="192"/>
      <c r="O32" s="49">
        <f>SUM(O11:O31)</f>
        <v>7496</v>
      </c>
      <c r="P32" s="192"/>
      <c r="Q32" s="49">
        <f>SUM(Q11:Q31)</f>
        <v>0</v>
      </c>
      <c r="R32" s="192"/>
      <c r="S32" s="49">
        <f>SUM(S11:S31)</f>
        <v>0</v>
      </c>
      <c r="T32" s="192"/>
      <c r="U32" s="49">
        <f>SUM(U11:U31)</f>
        <v>0</v>
      </c>
      <c r="V32" s="190"/>
      <c r="W32" s="50">
        <f>SUM(W11:W31)</f>
        <v>0</v>
      </c>
      <c r="Z32" s="95">
        <f>'Verification of Boxes'!J28</f>
        <v>0</v>
      </c>
      <c r="AA32" s="37">
        <f t="shared" si="22"/>
        <v>0</v>
      </c>
      <c r="AB32" s="5"/>
      <c r="AC32" s="100">
        <f t="shared" si="18"/>
        <v>0</v>
      </c>
      <c r="AD32" s="110"/>
      <c r="AE32" s="5">
        <f t="shared" si="21"/>
        <v>0</v>
      </c>
      <c r="AF32" s="5">
        <f t="shared" si="19"/>
        <v>0</v>
      </c>
      <c r="AG32" s="96">
        <f t="shared" si="20"/>
        <v>0</v>
      </c>
      <c r="AL32" s="330"/>
      <c r="AM32" s="331"/>
      <c r="AN32" s="331"/>
      <c r="AO32" s="331"/>
      <c r="AP32" s="331"/>
      <c r="AQ32" s="332"/>
      <c r="AT32" s="5">
        <f>AT31+AW32</f>
        <v>0</v>
      </c>
      <c r="AU32" s="5">
        <f t="shared" si="23"/>
        <v>0</v>
      </c>
      <c r="AV32" s="5">
        <f>AV31+AU32</f>
        <v>1</v>
      </c>
      <c r="AW32" s="5">
        <f t="shared" si="24"/>
        <v>0</v>
      </c>
      <c r="BF32" s="311"/>
      <c r="BG32" s="311"/>
      <c r="BX32" s="311"/>
      <c r="BY32" s="311"/>
      <c r="CB32" s="330"/>
      <c r="CC32" s="331"/>
      <c r="CD32" s="331"/>
      <c r="CE32" s="332"/>
    </row>
    <row r="33" spans="4:75" ht="13" thickBot="1" x14ac:dyDescent="0.3">
      <c r="D33" s="25"/>
      <c r="E33" t="str">
        <f>IF(E32=$G4,"Totals Correct","ERROR")</f>
        <v>Totals Correct</v>
      </c>
      <c r="G33" t="str">
        <f>IF(G32=$G4,"Totals Correct","ERROR")</f>
        <v>Totals Correct</v>
      </c>
      <c r="I33" t="str">
        <f>IF(I32=$G4,"Totals Correct","ERROR")</f>
        <v>Totals Correct</v>
      </c>
      <c r="K33" t="str">
        <f>IF(K32=$G4,"Totals Correct","ERROR")</f>
        <v>Totals Correct</v>
      </c>
      <c r="M33" t="str">
        <f>IF(M32=$G4,"Totals Correct","ERROR")</f>
        <v>Totals Correct</v>
      </c>
      <c r="O33" t="str">
        <f>IF(O32=$G4,"Totals Correct","ERROR")</f>
        <v>Totals Correct</v>
      </c>
      <c r="Z33" s="97">
        <f>'Verification of Boxes'!J29</f>
        <v>0</v>
      </c>
      <c r="AA33" s="89">
        <f t="shared" si="22"/>
        <v>0</v>
      </c>
      <c r="AB33" s="90"/>
      <c r="AC33" s="101">
        <f t="shared" si="18"/>
        <v>0</v>
      </c>
      <c r="AD33" s="147"/>
      <c r="AE33" s="90">
        <f t="shared" si="21"/>
        <v>0</v>
      </c>
      <c r="AF33" s="90">
        <f t="shared" si="19"/>
        <v>0</v>
      </c>
      <c r="AG33" s="148">
        <f t="shared" si="20"/>
        <v>0</v>
      </c>
    </row>
    <row r="34" spans="4:75" ht="13" thickBot="1" x14ac:dyDescent="0.3">
      <c r="D34" s="42" t="s">
        <v>120</v>
      </c>
      <c r="E34" s="185">
        <f>'Stage 2'!E34</f>
        <v>0.5083333333333333</v>
      </c>
      <c r="F34" s="219"/>
      <c r="G34" s="185">
        <f>'Stage 2'!G34</f>
        <v>0</v>
      </c>
      <c r="H34" s="219"/>
      <c r="I34" s="185">
        <f>'Stage 3'!I34</f>
        <v>0</v>
      </c>
      <c r="J34" s="219"/>
      <c r="K34" s="185">
        <f>'Stage 4'!K34</f>
        <v>0</v>
      </c>
      <c r="L34" s="219"/>
      <c r="M34" s="185">
        <f>'Stage 5'!M34</f>
        <v>0</v>
      </c>
      <c r="N34" s="219"/>
      <c r="O34" s="183"/>
      <c r="P34" s="219"/>
      <c r="Q34" s="219"/>
      <c r="R34" s="219"/>
      <c r="S34" s="219"/>
      <c r="T34" s="219"/>
      <c r="U34" s="219"/>
      <c r="V34" s="219"/>
      <c r="W34" s="220"/>
    </row>
    <row r="35" spans="4:75" x14ac:dyDescent="0.25">
      <c r="D35" s="25"/>
      <c r="E35" s="2"/>
      <c r="G35" s="2"/>
      <c r="I35" s="2"/>
      <c r="K35" s="2"/>
      <c r="M35" s="2"/>
    </row>
    <row r="36" spans="4:75" x14ac:dyDescent="0.25">
      <c r="D36" s="25"/>
      <c r="E36" s="2"/>
      <c r="G36" s="2"/>
      <c r="I36" s="2"/>
      <c r="K36" s="2"/>
      <c r="M36" s="2"/>
    </row>
    <row r="38" spans="4:75" ht="13" x14ac:dyDescent="0.3">
      <c r="Z38" s="249" t="s">
        <v>207</v>
      </c>
      <c r="AA38" s="250"/>
      <c r="AB38" s="250"/>
      <c r="AC38" s="250"/>
      <c r="AD38" s="250"/>
      <c r="AE38" s="250"/>
      <c r="AF38" s="250"/>
      <c r="AG38" s="250"/>
      <c r="AK38" s="33"/>
      <c r="AL38" s="5">
        <v>1</v>
      </c>
      <c r="AM38" s="5">
        <v>2</v>
      </c>
      <c r="AN38" s="5">
        <v>3</v>
      </c>
      <c r="AO38" s="5">
        <v>4</v>
      </c>
      <c r="AP38" s="5">
        <v>5</v>
      </c>
      <c r="AQ38" s="5">
        <v>6</v>
      </c>
    </row>
    <row r="39" spans="4:75" x14ac:dyDescent="0.25">
      <c r="Z39" s="249" t="s">
        <v>208</v>
      </c>
      <c r="AA39" s="250"/>
      <c r="AB39" s="250"/>
      <c r="AC39" s="250"/>
      <c r="AD39" s="250"/>
      <c r="AE39" s="250"/>
      <c r="AF39" s="250"/>
      <c r="AG39" s="250"/>
      <c r="AL39" s="5">
        <f>IF(AP20="Exclude",1,0)</f>
        <v>0</v>
      </c>
      <c r="AM39" s="5">
        <f>IF(AP21="Exclude",1,0)</f>
        <v>0</v>
      </c>
      <c r="AN39" s="5">
        <f>IF(AP22="Exclude",1,0)</f>
        <v>0</v>
      </c>
      <c r="AO39" s="5">
        <f>IF(AP23="Exclude",1,0)</f>
        <v>0</v>
      </c>
      <c r="AP39" s="5">
        <f>IF(AP24="Exclude",1,0)</f>
        <v>0</v>
      </c>
      <c r="AQ39" s="5">
        <f>IF(AP25="Exclude",1,0)</f>
        <v>0</v>
      </c>
    </row>
    <row r="40" spans="4:75" ht="13" x14ac:dyDescent="0.3">
      <c r="Z40" s="251" t="s">
        <v>209</v>
      </c>
      <c r="AA40" s="250"/>
      <c r="AB40" s="250"/>
      <c r="AC40" s="250"/>
      <c r="AD40" s="250"/>
      <c r="AE40" s="250"/>
      <c r="AF40" s="250"/>
      <c r="AG40" s="250"/>
      <c r="AL40" s="5">
        <f t="shared" ref="AL40:AQ40" si="25">AL39+AK40</f>
        <v>0</v>
      </c>
      <c r="AM40" s="5">
        <f t="shared" si="25"/>
        <v>0</v>
      </c>
      <c r="AN40" s="5">
        <f t="shared" si="25"/>
        <v>0</v>
      </c>
      <c r="AO40" s="5">
        <f t="shared" si="25"/>
        <v>0</v>
      </c>
      <c r="AP40" s="5">
        <f t="shared" si="25"/>
        <v>0</v>
      </c>
      <c r="AQ40" s="5">
        <f t="shared" si="25"/>
        <v>0</v>
      </c>
    </row>
    <row r="41" spans="4:75" x14ac:dyDescent="0.25">
      <c r="Z41" s="250"/>
      <c r="AA41" s="249"/>
      <c r="AB41" s="250"/>
      <c r="AC41" s="250"/>
      <c r="AD41" s="250"/>
      <c r="AE41" s="250"/>
      <c r="AF41" s="250"/>
      <c r="AG41" s="250"/>
      <c r="AL41" s="5">
        <f t="shared" ref="AL41:AQ41" si="26">IF(AK40=AL40,1,0)</f>
        <v>1</v>
      </c>
      <c r="AM41" s="5">
        <f t="shared" si="26"/>
        <v>1</v>
      </c>
      <c r="AN41" s="5">
        <f t="shared" si="26"/>
        <v>1</v>
      </c>
      <c r="AO41" s="5">
        <f t="shared" si="26"/>
        <v>1</v>
      </c>
      <c r="AP41" s="5">
        <f t="shared" si="26"/>
        <v>1</v>
      </c>
      <c r="AQ41" s="5">
        <f t="shared" si="26"/>
        <v>1</v>
      </c>
    </row>
    <row r="42" spans="4:75" ht="13" x14ac:dyDescent="0.3">
      <c r="Z42" s="250"/>
      <c r="AA42" s="250"/>
      <c r="AB42" s="250"/>
      <c r="AC42" s="251" t="s">
        <v>171</v>
      </c>
      <c r="AD42" s="251"/>
      <c r="AE42" s="251" t="s">
        <v>210</v>
      </c>
      <c r="AF42" s="250"/>
      <c r="AG42" s="250"/>
      <c r="AL42" s="5">
        <f t="shared" ref="AL42:AQ42" si="27">IF(AM40=AL38,"add",0)</f>
        <v>0</v>
      </c>
      <c r="AM42" s="5">
        <f t="shared" si="27"/>
        <v>0</v>
      </c>
      <c r="AN42" s="5">
        <f t="shared" si="27"/>
        <v>0</v>
      </c>
      <c r="AO42" s="5">
        <f t="shared" si="27"/>
        <v>0</v>
      </c>
      <c r="AP42" s="5">
        <f t="shared" si="27"/>
        <v>0</v>
      </c>
      <c r="AQ42" s="5">
        <f t="shared" si="27"/>
        <v>0</v>
      </c>
    </row>
    <row r="43" spans="4:75" ht="12.75" customHeight="1" x14ac:dyDescent="0.25">
      <c r="Z43" s="250"/>
      <c r="AA43" s="250"/>
      <c r="AB43" s="250"/>
      <c r="AC43" s="250">
        <f>AG2</f>
        <v>0</v>
      </c>
      <c r="AD43" s="250"/>
      <c r="AE43" s="252"/>
      <c r="AF43" s="250"/>
      <c r="AG43" s="250"/>
      <c r="AK43">
        <f>SUM(AL43:AQ43)</f>
        <v>0</v>
      </c>
      <c r="AL43" s="5" t="str">
        <f>IF(AL42="add",AN20,"other")</f>
        <v>other</v>
      </c>
      <c r="AM43" s="5" t="str">
        <f>IF(AM42="add",AN21,"other")</f>
        <v>other</v>
      </c>
      <c r="AN43" s="5" t="str">
        <f>IF(AN42="add",AN22,"other")</f>
        <v>other</v>
      </c>
      <c r="AO43" s="5" t="str">
        <f>IF(AO42="add",AN23,"other")</f>
        <v>other</v>
      </c>
      <c r="AP43" s="5" t="str">
        <f>IF(AP42="add",AN24,"other")</f>
        <v>other</v>
      </c>
      <c r="AQ43" s="5" t="str">
        <f>IF(AQ42="add",AN25,"other")</f>
        <v>other</v>
      </c>
    </row>
    <row r="44" spans="4:75" x14ac:dyDescent="0.25">
      <c r="Z44" s="253" t="str">
        <f t="array" ref="Z44:AB63">_xlfn._xlws.SORT(AJ48:AL67,3,,)</f>
        <v>FRENCH</v>
      </c>
      <c r="AA44" s="250">
        <v>477.34</v>
      </c>
      <c r="AB44" s="250">
        <v>477.34</v>
      </c>
      <c r="AC44" s="250">
        <f>AC43+AA44</f>
        <v>477.34</v>
      </c>
      <c r="AD44" s="250"/>
      <c r="AE44" s="252" t="str">
        <f>IF(AC44&gt;$AG$4,0,IF(AC44&lt;AA45,"Exclude this candidate",0))</f>
        <v>Exclude this candidate</v>
      </c>
      <c r="AF44" s="250"/>
      <c r="AG44" s="250"/>
    </row>
    <row r="45" spans="4:75" ht="18" customHeight="1" x14ac:dyDescent="0.35">
      <c r="Z45" s="253" t="str">
        <v>FLYNN</v>
      </c>
      <c r="AA45" s="250">
        <v>494.94000000000005</v>
      </c>
      <c r="AB45" s="250">
        <v>494.94000000000005</v>
      </c>
      <c r="AC45" s="250">
        <f>AC44+AA45</f>
        <v>972.28</v>
      </c>
      <c r="AD45" s="250"/>
      <c r="AE45" s="252">
        <f>IF(AC45&gt;$AG$4,0,IF(AC45&lt;AA46,"Exclude 2 lowest candidates",0))</f>
        <v>0</v>
      </c>
      <c r="AF45" s="250"/>
      <c r="AG45" s="250"/>
      <c r="AJ45" s="36" t="s">
        <v>211</v>
      </c>
      <c r="AK45" s="36"/>
      <c r="AL45" s="36"/>
      <c r="AM45" s="36"/>
      <c r="AN45" s="36"/>
    </row>
    <row r="46" spans="4:75" x14ac:dyDescent="0.25">
      <c r="Z46" s="253" t="str">
        <v>PALMER</v>
      </c>
      <c r="AA46" s="250">
        <v>694.27</v>
      </c>
      <c r="AB46" s="250">
        <v>694.27</v>
      </c>
      <c r="AC46" s="250">
        <f t="shared" ref="AC46:AC63" si="28">AC45+AA46</f>
        <v>1666.55</v>
      </c>
      <c r="AD46" s="250"/>
      <c r="AE46" s="252">
        <f>IF(AC46&gt;$AG$4,0,IF(AC46&lt;AA47,"Exclude 3 lowest candidates",0))</f>
        <v>0</v>
      </c>
      <c r="AF46" s="250"/>
      <c r="AG46" s="250"/>
      <c r="AL46" s="2">
        <f>AL47</f>
        <v>477.34</v>
      </c>
      <c r="AN46" s="2">
        <f>AN47+AL46</f>
        <v>494.94000000000005</v>
      </c>
      <c r="AP46" s="2">
        <f>AP47+AN46</f>
        <v>694.27</v>
      </c>
      <c r="AR46" s="2">
        <f>AR47+AP46</f>
        <v>707.55</v>
      </c>
      <c r="AS46" s="2"/>
      <c r="AU46" s="2">
        <f>AU47+AR46</f>
        <v>915.15</v>
      </c>
      <c r="AW46" s="2">
        <f>AW47+AU46</f>
        <v>965.12</v>
      </c>
      <c r="AX46" s="2"/>
      <c r="BG46" t="s">
        <v>212</v>
      </c>
    </row>
    <row r="47" spans="4:75" x14ac:dyDescent="0.25">
      <c r="Z47" s="253" t="str">
        <v>KENNEDY</v>
      </c>
      <c r="AA47" s="250">
        <v>707.55</v>
      </c>
      <c r="AB47" s="250">
        <v>707.55</v>
      </c>
      <c r="AC47" s="250">
        <f t="shared" si="28"/>
        <v>2374.1</v>
      </c>
      <c r="AD47" s="250"/>
      <c r="AE47" s="252">
        <f>IF(AC47&gt;$AG$4,0,IF(AC47&lt;AA48,"Exclude 4 lowest candidates",0))</f>
        <v>0</v>
      </c>
      <c r="AF47" s="250"/>
      <c r="AG47" s="250"/>
      <c r="AL47" s="2">
        <f>MIN(AL48:AL67)</f>
        <v>477.34</v>
      </c>
      <c r="AN47" s="2">
        <f>MIN(AN48:AN67)</f>
        <v>17.60000000000008</v>
      </c>
      <c r="AP47" s="2">
        <f>MIN(AP48:AP67)</f>
        <v>199.32999999999993</v>
      </c>
      <c r="AR47" s="2">
        <f>MIN(AR48:AR67)</f>
        <v>13.279999999999973</v>
      </c>
      <c r="AS47" s="2"/>
      <c r="AU47" s="2">
        <f>MIN(AU48:AU67)</f>
        <v>207.60000000000002</v>
      </c>
      <c r="AW47" s="2">
        <f>MIN(AW48:AW67)</f>
        <v>49.970000000000027</v>
      </c>
      <c r="AX47" s="2"/>
    </row>
    <row r="48" spans="4:75" ht="37.5" x14ac:dyDescent="0.25">
      <c r="Z48" s="253" t="str">
        <v>PORTER</v>
      </c>
      <c r="AA48" s="250">
        <v>915.15</v>
      </c>
      <c r="AB48" s="250">
        <v>915.15</v>
      </c>
      <c r="AC48" s="250">
        <f t="shared" si="28"/>
        <v>3289.25</v>
      </c>
      <c r="AD48" s="250"/>
      <c r="AE48" s="252">
        <f>IF(AC48&gt;$AG$4,0,IF(AC48&lt;AA49,"Exclude 5 lowest candidates",0))</f>
        <v>0</v>
      </c>
      <c r="AF48" s="250"/>
      <c r="AG48" s="250"/>
      <c r="AJ48" t="str">
        <f t="shared" ref="AJ48:AK63" si="29">Z14</f>
        <v>EWING</v>
      </c>
      <c r="AK48" s="2">
        <f t="shared" si="29"/>
        <v>1071</v>
      </c>
      <c r="AL48">
        <f>IF(AK48&lt;&gt;0,AK48,1000000)</f>
        <v>1071</v>
      </c>
      <c r="AM48" s="2">
        <f t="shared" ref="AM48:AM67" si="30">AL48-AL$47</f>
        <v>593.66000000000008</v>
      </c>
      <c r="AN48">
        <f>IF(AM48&lt;&gt;0,AM48,1000000)</f>
        <v>593.66000000000008</v>
      </c>
      <c r="AO48" s="2">
        <f t="shared" ref="AO48:AO67" si="31">AN48-AN$47</f>
        <v>576.05999999999995</v>
      </c>
      <c r="AP48">
        <f t="shared" ref="AP48:AP67" si="32">IF(AO48&lt;&gt;0,AO48,1000000)</f>
        <v>576.05999999999995</v>
      </c>
      <c r="AQ48" s="2">
        <f t="shared" ref="AQ48:AQ67" si="33">AP48-AP$47</f>
        <v>376.73</v>
      </c>
      <c r="AR48">
        <f t="shared" ref="AR48:AR67" si="34">IF(AQ48&lt;&gt;0,AQ48,1000000)</f>
        <v>376.73</v>
      </c>
      <c r="AT48" s="2">
        <f t="shared" ref="AT48:AT67" si="35">AR48-AR$47</f>
        <v>363.45000000000005</v>
      </c>
      <c r="AU48">
        <f t="shared" ref="AU48:AU67" si="36">IF(AT48&lt;&gt;0,AT48,1000000)</f>
        <v>363.45000000000005</v>
      </c>
      <c r="AV48" s="2">
        <f t="shared" ref="AV48:AV67" si="37">AU48-AU$47</f>
        <v>155.85000000000002</v>
      </c>
      <c r="AW48">
        <f t="shared" ref="AW48:AW67" si="38">IF(AV48&lt;&gt;0,AV48,1000000)</f>
        <v>155.85000000000002</v>
      </c>
      <c r="BE48" s="91" t="s">
        <v>213</v>
      </c>
      <c r="BI48" s="4" t="s">
        <v>214</v>
      </c>
      <c r="BJ48" s="4" t="s">
        <v>215</v>
      </c>
      <c r="BK48" s="4" t="s">
        <v>216</v>
      </c>
      <c r="BL48" s="91"/>
      <c r="BM48" s="91"/>
      <c r="BN48" s="91" t="s">
        <v>217</v>
      </c>
      <c r="BO48" s="91"/>
      <c r="BP48" s="91"/>
      <c r="BW48" t="s">
        <v>218</v>
      </c>
    </row>
    <row r="49" spans="26:75" x14ac:dyDescent="0.25">
      <c r="Z49" s="253" t="str">
        <v>MITCHELL</v>
      </c>
      <c r="AA49" s="250">
        <v>965.12</v>
      </c>
      <c r="AB49" s="250">
        <v>965.12</v>
      </c>
      <c r="AC49" s="250">
        <f t="shared" si="28"/>
        <v>4254.37</v>
      </c>
      <c r="AD49" s="250"/>
      <c r="AE49" s="252">
        <f>IF(AC49&gt;$AG$4,0,IF(AC49&lt;AA50,"Exclude 6 lowest candidates",0))</f>
        <v>0</v>
      </c>
      <c r="AF49" s="250"/>
      <c r="AG49" s="250"/>
      <c r="AJ49" t="str">
        <f t="shared" si="29"/>
        <v>FLYNN</v>
      </c>
      <c r="AK49" s="2">
        <f t="shared" si="29"/>
        <v>494.94000000000005</v>
      </c>
      <c r="AL49">
        <f t="shared" ref="AL49:AL67" si="39">IF(AK49&lt;&gt;0,AK49,1000000)</f>
        <v>494.94000000000005</v>
      </c>
      <c r="AM49" s="2">
        <f t="shared" si="30"/>
        <v>17.60000000000008</v>
      </c>
      <c r="AN49">
        <f t="shared" ref="AN49:AN67" si="40">IF(AM49&lt;&gt;0,AM49,1000000)</f>
        <v>17.60000000000008</v>
      </c>
      <c r="AO49" s="2">
        <f t="shared" si="31"/>
        <v>0</v>
      </c>
      <c r="AP49">
        <f t="shared" si="32"/>
        <v>1000000</v>
      </c>
      <c r="AQ49" s="2">
        <f t="shared" si="33"/>
        <v>999800.67</v>
      </c>
      <c r="AR49">
        <f t="shared" si="34"/>
        <v>999800.67</v>
      </c>
      <c r="AT49" s="2">
        <f t="shared" si="35"/>
        <v>999787.39</v>
      </c>
      <c r="AU49">
        <f t="shared" si="36"/>
        <v>999787.39</v>
      </c>
      <c r="AV49" s="2">
        <f t="shared" si="37"/>
        <v>999579.79</v>
      </c>
      <c r="AW49">
        <f t="shared" si="38"/>
        <v>999579.79</v>
      </c>
      <c r="BE49" s="5">
        <f>IF($BH5="y",$BE5,IF($BH6="y",$BE6,IF($BH7="y",$BE7,IF($BH8="y",$BE8,IF($BH9="y",$BE9,IF($BH10="y",$BE10,0))))))</f>
        <v>0</v>
      </c>
      <c r="BG49" s="125" t="str">
        <f t="shared" ref="BG49:BG68" si="41">BE5</f>
        <v>EWING</v>
      </c>
      <c r="BH49" s="126"/>
      <c r="BI49" s="5">
        <f t="shared" ref="BI49:BI68" si="42">IF(BE5=0,0,IF(BE5=BA$8,-BC$12,0))</f>
        <v>0</v>
      </c>
      <c r="BJ49" s="5">
        <f t="shared" ref="BJ49:BJ68" si="43">BN49</f>
        <v>0</v>
      </c>
      <c r="BK49" s="5">
        <f t="shared" ref="BK49:BK68" si="44">BG5+CE8+BJ49+BI49</f>
        <v>0</v>
      </c>
      <c r="BN49" s="5">
        <f>IF(BP8="y",-BO8,0)</f>
        <v>0</v>
      </c>
      <c r="BW49" s="5">
        <f>IF(BP8="y",BO8,0)</f>
        <v>0</v>
      </c>
    </row>
    <row r="50" spans="26:75" x14ac:dyDescent="0.25">
      <c r="Z50" s="253" t="str">
        <v>EWING</v>
      </c>
      <c r="AA50" s="250">
        <v>1071</v>
      </c>
      <c r="AB50" s="250">
        <v>1071</v>
      </c>
      <c r="AC50" s="250">
        <f t="shared" si="28"/>
        <v>5325.37</v>
      </c>
      <c r="AD50" s="250"/>
      <c r="AE50" s="252">
        <f>IF(AC50&gt;$AG$4,0,IF(AC50&lt;AA51,"Exclude 7 lowest candidates",0))</f>
        <v>0</v>
      </c>
      <c r="AF50" s="250"/>
      <c r="AG50" s="250"/>
      <c r="AJ50" t="str">
        <f t="shared" si="29"/>
        <v>FRENCH</v>
      </c>
      <c r="AK50" s="2">
        <f t="shared" si="29"/>
        <v>477.34</v>
      </c>
      <c r="AL50">
        <f t="shared" si="39"/>
        <v>477.34</v>
      </c>
      <c r="AM50" s="2">
        <f t="shared" si="30"/>
        <v>0</v>
      </c>
      <c r="AN50">
        <f t="shared" si="40"/>
        <v>1000000</v>
      </c>
      <c r="AO50" s="2">
        <f t="shared" si="31"/>
        <v>999982.4</v>
      </c>
      <c r="AP50">
        <f t="shared" si="32"/>
        <v>999982.4</v>
      </c>
      <c r="AQ50" s="2">
        <f t="shared" si="33"/>
        <v>999783.07000000007</v>
      </c>
      <c r="AR50">
        <f t="shared" si="34"/>
        <v>999783.07000000007</v>
      </c>
      <c r="AT50" s="2">
        <f t="shared" si="35"/>
        <v>999769.79</v>
      </c>
      <c r="AU50">
        <f t="shared" si="36"/>
        <v>999769.79</v>
      </c>
      <c r="AV50" s="2">
        <f t="shared" si="37"/>
        <v>999562.19000000006</v>
      </c>
      <c r="AW50">
        <f t="shared" si="38"/>
        <v>999562.19000000006</v>
      </c>
      <c r="BE50" s="5">
        <f>IF($BH11="y",$BE11,IF($BH12="y",$BE12,IF($BH13="y",$BE13,IF($BH14="y",$BE14,IF($BH15="y",$BE15,IF($BH16="y",$BE16,0))))))</f>
        <v>0</v>
      </c>
      <c r="BG50" s="127" t="str">
        <f t="shared" si="41"/>
        <v>FLYNN</v>
      </c>
      <c r="BH50" s="128"/>
      <c r="BI50" s="5">
        <f t="shared" si="42"/>
        <v>0</v>
      </c>
      <c r="BJ50" s="5">
        <f t="shared" si="43"/>
        <v>0</v>
      </c>
      <c r="BK50" s="5">
        <f t="shared" si="44"/>
        <v>176.15</v>
      </c>
      <c r="BN50" s="5">
        <f t="shared" ref="BN50:BN68" si="45">IF(BP9="y",-BO9,0)</f>
        <v>0</v>
      </c>
      <c r="BW50" s="5">
        <f t="shared" ref="BW50:BW68" si="46">IF(BP9="y",BO9,0)</f>
        <v>0</v>
      </c>
    </row>
    <row r="51" spans="26:75" ht="12.75" customHeight="1" x14ac:dyDescent="0.25">
      <c r="Z51" s="253" t="str">
        <v>GIVAN</v>
      </c>
      <c r="AA51" s="250">
        <v>1071</v>
      </c>
      <c r="AB51" s="250">
        <v>1071</v>
      </c>
      <c r="AC51" s="250">
        <f t="shared" si="28"/>
        <v>6396.37</v>
      </c>
      <c r="AD51" s="250"/>
      <c r="AE51" s="252">
        <f>IF(AC51&gt;$AG$4,0,IF(AC51&lt;AA52,"Exclude 8 lowest candidates",0))</f>
        <v>0</v>
      </c>
      <c r="AF51" s="250"/>
      <c r="AG51" s="250"/>
      <c r="AJ51" t="str">
        <f t="shared" si="29"/>
        <v>GIVAN</v>
      </c>
      <c r="AK51" s="2">
        <f t="shared" si="29"/>
        <v>1071</v>
      </c>
      <c r="AL51">
        <f t="shared" si="39"/>
        <v>1071</v>
      </c>
      <c r="AM51" s="2">
        <f t="shared" si="30"/>
        <v>593.66000000000008</v>
      </c>
      <c r="AN51">
        <f t="shared" si="40"/>
        <v>593.66000000000008</v>
      </c>
      <c r="AO51" s="2">
        <f t="shared" si="31"/>
        <v>576.05999999999995</v>
      </c>
      <c r="AP51">
        <f t="shared" si="32"/>
        <v>576.05999999999995</v>
      </c>
      <c r="AQ51" s="2">
        <f t="shared" si="33"/>
        <v>376.73</v>
      </c>
      <c r="AR51">
        <f t="shared" si="34"/>
        <v>376.73</v>
      </c>
      <c r="AT51" s="2">
        <f t="shared" si="35"/>
        <v>363.45000000000005</v>
      </c>
      <c r="AU51">
        <f t="shared" si="36"/>
        <v>363.45000000000005</v>
      </c>
      <c r="AV51" s="2">
        <f t="shared" si="37"/>
        <v>155.85000000000002</v>
      </c>
      <c r="AW51">
        <f t="shared" si="38"/>
        <v>155.85000000000002</v>
      </c>
      <c r="BE51" s="5">
        <f>IF($BH17="y",$BE17,IF($BH18="y",$BE18,IF($BH19="y",$BE19,IF($BH20="y",$BE20,IF($BH21="y",$BE21,IF($BH22="y",$BE22,0))))))</f>
        <v>0</v>
      </c>
      <c r="BG51" s="127" t="str">
        <f t="shared" si="41"/>
        <v>FRENCH</v>
      </c>
      <c r="BH51" s="128"/>
      <c r="BI51" s="5">
        <f t="shared" si="42"/>
        <v>0</v>
      </c>
      <c r="BJ51" s="5">
        <f t="shared" si="43"/>
        <v>-477.34</v>
      </c>
      <c r="BK51" s="5">
        <f t="shared" si="44"/>
        <v>-477.34</v>
      </c>
      <c r="BN51" s="5">
        <f t="shared" si="45"/>
        <v>-477.34</v>
      </c>
      <c r="BW51" s="5">
        <f t="shared" si="46"/>
        <v>477.34</v>
      </c>
    </row>
    <row r="52" spans="26:75" x14ac:dyDescent="0.25">
      <c r="Z52" s="253" t="str">
        <v>GREHAN</v>
      </c>
      <c r="AA52" s="250">
        <v>1071</v>
      </c>
      <c r="AB52" s="250">
        <v>1071</v>
      </c>
      <c r="AC52" s="250">
        <f t="shared" si="28"/>
        <v>7467.37</v>
      </c>
      <c r="AD52" s="250"/>
      <c r="AE52" s="252">
        <f>IF(AC52&gt;$AG$4,0,IF(AC52&lt;AA53,"Exclude 9 lowest candidates",0))</f>
        <v>0</v>
      </c>
      <c r="AF52" s="250"/>
      <c r="AG52" s="250"/>
      <c r="AJ52" t="str">
        <f t="shared" si="29"/>
        <v>GREHAN</v>
      </c>
      <c r="AK52" s="2">
        <f t="shared" si="29"/>
        <v>1071</v>
      </c>
      <c r="AL52">
        <f t="shared" si="39"/>
        <v>1071</v>
      </c>
      <c r="AM52" s="2">
        <f t="shared" si="30"/>
        <v>593.66000000000008</v>
      </c>
      <c r="AN52">
        <f t="shared" si="40"/>
        <v>593.66000000000008</v>
      </c>
      <c r="AO52" s="2">
        <f t="shared" si="31"/>
        <v>576.05999999999995</v>
      </c>
      <c r="AP52">
        <f t="shared" si="32"/>
        <v>576.05999999999995</v>
      </c>
      <c r="AQ52" s="2">
        <f t="shared" si="33"/>
        <v>376.73</v>
      </c>
      <c r="AR52">
        <f t="shared" si="34"/>
        <v>376.73</v>
      </c>
      <c r="AT52" s="2">
        <f t="shared" si="35"/>
        <v>363.45000000000005</v>
      </c>
      <c r="AU52">
        <f t="shared" si="36"/>
        <v>363.45000000000005</v>
      </c>
      <c r="AV52" s="2">
        <f t="shared" si="37"/>
        <v>155.85000000000002</v>
      </c>
      <c r="AW52">
        <f t="shared" si="38"/>
        <v>155.85000000000002</v>
      </c>
      <c r="BE52" s="5">
        <f>IF($BH23="y",$BE23,IF($BH24="y",$BE24,0))</f>
        <v>0</v>
      </c>
      <c r="BG52" s="127" t="str">
        <f t="shared" si="41"/>
        <v>GIVAN</v>
      </c>
      <c r="BH52" s="128"/>
      <c r="BI52" s="5">
        <f t="shared" si="42"/>
        <v>0</v>
      </c>
      <c r="BJ52" s="5">
        <f t="shared" si="43"/>
        <v>0</v>
      </c>
      <c r="BK52" s="5">
        <f t="shared" si="44"/>
        <v>0</v>
      </c>
      <c r="BN52" s="5">
        <f t="shared" si="45"/>
        <v>0</v>
      </c>
      <c r="BW52" s="5">
        <f t="shared" si="46"/>
        <v>0</v>
      </c>
    </row>
    <row r="53" spans="26:75" x14ac:dyDescent="0.25">
      <c r="Z53" s="253" t="str">
        <v>MCEVOY</v>
      </c>
      <c r="AA53" s="250">
        <v>0</v>
      </c>
      <c r="AB53" s="250">
        <v>1000000</v>
      </c>
      <c r="AC53" s="250">
        <f t="shared" si="28"/>
        <v>7467.37</v>
      </c>
      <c r="AD53" s="250"/>
      <c r="AE53" s="252">
        <f>IF(AC53&gt;$AG$4,0,IF(AC53&lt;AA54,"Exclude 10 lowest candidates",0))</f>
        <v>0</v>
      </c>
      <c r="AF53" s="250"/>
      <c r="AG53" s="250"/>
      <c r="AJ53" t="str">
        <f t="shared" si="29"/>
        <v>KENNEDY</v>
      </c>
      <c r="AK53" s="2">
        <f t="shared" si="29"/>
        <v>707.55</v>
      </c>
      <c r="AL53">
        <f t="shared" si="39"/>
        <v>707.55</v>
      </c>
      <c r="AM53" s="2">
        <f t="shared" si="30"/>
        <v>230.20999999999998</v>
      </c>
      <c r="AN53">
        <f t="shared" si="40"/>
        <v>230.20999999999998</v>
      </c>
      <c r="AO53" s="2">
        <f t="shared" si="31"/>
        <v>212.6099999999999</v>
      </c>
      <c r="AP53">
        <f t="shared" si="32"/>
        <v>212.6099999999999</v>
      </c>
      <c r="AQ53" s="2">
        <f t="shared" si="33"/>
        <v>13.279999999999973</v>
      </c>
      <c r="AR53">
        <f t="shared" si="34"/>
        <v>13.279999999999973</v>
      </c>
      <c r="AT53" s="2">
        <f t="shared" si="35"/>
        <v>0</v>
      </c>
      <c r="AU53">
        <f t="shared" si="36"/>
        <v>1000000</v>
      </c>
      <c r="AV53" s="2">
        <f t="shared" si="37"/>
        <v>999792.4</v>
      </c>
      <c r="AW53">
        <f t="shared" si="38"/>
        <v>999792.4</v>
      </c>
      <c r="BG53" s="127" t="str">
        <f t="shared" si="41"/>
        <v>GREHAN</v>
      </c>
      <c r="BH53" s="128"/>
      <c r="BI53" s="5">
        <f t="shared" si="42"/>
        <v>0</v>
      </c>
      <c r="BJ53" s="5">
        <f t="shared" si="43"/>
        <v>0</v>
      </c>
      <c r="BK53" s="5">
        <f t="shared" si="44"/>
        <v>0</v>
      </c>
      <c r="BN53" s="5">
        <f t="shared" si="45"/>
        <v>0</v>
      </c>
      <c r="BW53" s="5">
        <f t="shared" si="46"/>
        <v>0</v>
      </c>
    </row>
    <row r="54" spans="26:75" x14ac:dyDescent="0.25">
      <c r="Z54" s="253">
        <v>0</v>
      </c>
      <c r="AA54" s="250">
        <v>0</v>
      </c>
      <c r="AB54" s="250">
        <v>1000000</v>
      </c>
      <c r="AC54" s="250">
        <f t="shared" si="28"/>
        <v>7467.37</v>
      </c>
      <c r="AD54" s="250"/>
      <c r="AE54" s="252">
        <f>IF(AC54&gt;$AG$4,0,IF(AC54&lt;AA55,"Exclude 11 lowest candidates",0))</f>
        <v>0</v>
      </c>
      <c r="AF54" s="250"/>
      <c r="AG54" s="250"/>
      <c r="AJ54" t="str">
        <f t="shared" si="29"/>
        <v>MCEVOY</v>
      </c>
      <c r="AK54" s="2">
        <f t="shared" si="29"/>
        <v>0</v>
      </c>
      <c r="AL54">
        <f t="shared" si="39"/>
        <v>1000000</v>
      </c>
      <c r="AM54" s="2">
        <f t="shared" si="30"/>
        <v>999522.66</v>
      </c>
      <c r="AN54">
        <f t="shared" si="40"/>
        <v>999522.66</v>
      </c>
      <c r="AO54" s="2">
        <f t="shared" si="31"/>
        <v>999505.06</v>
      </c>
      <c r="AP54">
        <f t="shared" si="32"/>
        <v>999505.06</v>
      </c>
      <c r="AQ54" s="2">
        <f t="shared" si="33"/>
        <v>999305.7300000001</v>
      </c>
      <c r="AR54">
        <f t="shared" si="34"/>
        <v>999305.7300000001</v>
      </c>
      <c r="AT54" s="2">
        <f t="shared" si="35"/>
        <v>999292.45000000007</v>
      </c>
      <c r="AU54">
        <f t="shared" si="36"/>
        <v>999292.45000000007</v>
      </c>
      <c r="AV54" s="2">
        <f t="shared" si="37"/>
        <v>999084.85000000009</v>
      </c>
      <c r="AW54">
        <f t="shared" si="38"/>
        <v>999084.85000000009</v>
      </c>
      <c r="BG54" s="127" t="str">
        <f t="shared" si="41"/>
        <v>KENNEDY</v>
      </c>
      <c r="BH54" s="128"/>
      <c r="BI54" s="5">
        <f t="shared" si="42"/>
        <v>0</v>
      </c>
      <c r="BJ54" s="5">
        <f t="shared" si="43"/>
        <v>0</v>
      </c>
      <c r="BK54" s="5">
        <f t="shared" si="44"/>
        <v>241.72</v>
      </c>
      <c r="BN54" s="5">
        <f t="shared" si="45"/>
        <v>0</v>
      </c>
      <c r="BW54" s="5">
        <f t="shared" si="46"/>
        <v>0</v>
      </c>
    </row>
    <row r="55" spans="26:75" x14ac:dyDescent="0.25">
      <c r="Z55" s="253">
        <v>0</v>
      </c>
      <c r="AA55" s="250">
        <v>0</v>
      </c>
      <c r="AB55" s="250">
        <v>1000000</v>
      </c>
      <c r="AC55" s="250">
        <f t="shared" si="28"/>
        <v>7467.37</v>
      </c>
      <c r="AD55" s="250"/>
      <c r="AE55" s="252">
        <f>IF(AC55&gt;$AG$4,0,IF(AC55&lt;AA56,"Exclude 12 lowest candidates",0))</f>
        <v>0</v>
      </c>
      <c r="AF55" s="250"/>
      <c r="AG55" s="250"/>
      <c r="AJ55" t="str">
        <f t="shared" si="29"/>
        <v>MITCHELL</v>
      </c>
      <c r="AK55" s="2">
        <f t="shared" si="29"/>
        <v>965.12</v>
      </c>
      <c r="AL55">
        <f t="shared" si="39"/>
        <v>965.12</v>
      </c>
      <c r="AM55" s="2">
        <f t="shared" si="30"/>
        <v>487.78000000000003</v>
      </c>
      <c r="AN55">
        <f t="shared" si="40"/>
        <v>487.78000000000003</v>
      </c>
      <c r="AO55" s="2">
        <f t="shared" si="31"/>
        <v>470.17999999999995</v>
      </c>
      <c r="AP55">
        <f t="shared" si="32"/>
        <v>470.17999999999995</v>
      </c>
      <c r="AQ55" s="2">
        <f t="shared" si="33"/>
        <v>270.85000000000002</v>
      </c>
      <c r="AR55">
        <f t="shared" si="34"/>
        <v>270.85000000000002</v>
      </c>
      <c r="AT55" s="2">
        <f t="shared" si="35"/>
        <v>257.57000000000005</v>
      </c>
      <c r="AU55">
        <f t="shared" si="36"/>
        <v>257.57000000000005</v>
      </c>
      <c r="AV55" s="2">
        <f t="shared" si="37"/>
        <v>49.970000000000027</v>
      </c>
      <c r="AW55">
        <f t="shared" si="38"/>
        <v>49.970000000000027</v>
      </c>
      <c r="BG55" s="127" t="str">
        <f t="shared" si="41"/>
        <v>MCEVOY</v>
      </c>
      <c r="BH55" s="128"/>
      <c r="BI55" s="5">
        <f t="shared" si="42"/>
        <v>0</v>
      </c>
      <c r="BJ55" s="5">
        <f t="shared" si="43"/>
        <v>0</v>
      </c>
      <c r="BK55" s="5">
        <f t="shared" si="44"/>
        <v>0</v>
      </c>
      <c r="BN55" s="5">
        <f t="shared" si="45"/>
        <v>0</v>
      </c>
      <c r="BW55" s="5">
        <f t="shared" si="46"/>
        <v>0</v>
      </c>
    </row>
    <row r="56" spans="26:75" x14ac:dyDescent="0.25">
      <c r="Z56" s="253">
        <v>0</v>
      </c>
      <c r="AA56" s="250">
        <v>0</v>
      </c>
      <c r="AB56" s="250">
        <v>1000000</v>
      </c>
      <c r="AC56" s="250">
        <f t="shared" si="28"/>
        <v>7467.37</v>
      </c>
      <c r="AD56" s="250"/>
      <c r="AE56" s="252">
        <f>IF(AC56&gt;$AG$4,0,IF(AC56&lt;AA57,"Exclude 13 lowest candidates",0))</f>
        <v>0</v>
      </c>
      <c r="AF56" s="250"/>
      <c r="AG56" s="250"/>
      <c r="AJ56" t="str">
        <f t="shared" si="29"/>
        <v>PALMER</v>
      </c>
      <c r="AK56" s="2">
        <f t="shared" si="29"/>
        <v>694.27</v>
      </c>
      <c r="AL56">
        <f t="shared" si="39"/>
        <v>694.27</v>
      </c>
      <c r="AM56" s="2">
        <f t="shared" si="30"/>
        <v>216.93</v>
      </c>
      <c r="AN56">
        <f t="shared" si="40"/>
        <v>216.93</v>
      </c>
      <c r="AO56" s="2">
        <f t="shared" si="31"/>
        <v>199.32999999999993</v>
      </c>
      <c r="AP56">
        <f t="shared" si="32"/>
        <v>199.32999999999993</v>
      </c>
      <c r="AQ56" s="2">
        <f t="shared" si="33"/>
        <v>0</v>
      </c>
      <c r="AR56">
        <f t="shared" si="34"/>
        <v>1000000</v>
      </c>
      <c r="AT56" s="2">
        <f t="shared" si="35"/>
        <v>999986.72</v>
      </c>
      <c r="AU56">
        <f t="shared" si="36"/>
        <v>999986.72</v>
      </c>
      <c r="AV56" s="2">
        <f t="shared" si="37"/>
        <v>999779.12</v>
      </c>
      <c r="AW56">
        <f t="shared" si="38"/>
        <v>999779.12</v>
      </c>
      <c r="BG56" s="127" t="str">
        <f t="shared" si="41"/>
        <v>MITCHELL</v>
      </c>
      <c r="BH56" s="128"/>
      <c r="BI56" s="5">
        <f t="shared" si="42"/>
        <v>0</v>
      </c>
      <c r="BJ56" s="5">
        <f t="shared" si="43"/>
        <v>0</v>
      </c>
      <c r="BK56" s="5">
        <f t="shared" si="44"/>
        <v>6</v>
      </c>
      <c r="BN56" s="5">
        <f t="shared" si="45"/>
        <v>0</v>
      </c>
      <c r="BW56" s="5">
        <f t="shared" si="46"/>
        <v>0</v>
      </c>
    </row>
    <row r="57" spans="26:75" x14ac:dyDescent="0.25">
      <c r="Z57" s="253">
        <v>0</v>
      </c>
      <c r="AA57" s="250">
        <v>0</v>
      </c>
      <c r="AB57" s="250">
        <v>1000000</v>
      </c>
      <c r="AC57" s="250">
        <f t="shared" si="28"/>
        <v>7467.37</v>
      </c>
      <c r="AD57" s="250"/>
      <c r="AE57" s="252">
        <f>IF(AC57&gt;$AG$4,0,IF(AC57&lt;AA58,"Exclude 14 lowest candidates",0))</f>
        <v>0</v>
      </c>
      <c r="AF57" s="250"/>
      <c r="AG57" s="250"/>
      <c r="AJ57" t="str">
        <f t="shared" si="29"/>
        <v>PORTER</v>
      </c>
      <c r="AK57" s="2">
        <f t="shared" si="29"/>
        <v>915.15</v>
      </c>
      <c r="AL57">
        <f t="shared" si="39"/>
        <v>915.15</v>
      </c>
      <c r="AM57" s="2">
        <f t="shared" si="30"/>
        <v>437.81</v>
      </c>
      <c r="AN57">
        <f t="shared" si="40"/>
        <v>437.81</v>
      </c>
      <c r="AO57" s="2">
        <f t="shared" si="31"/>
        <v>420.20999999999992</v>
      </c>
      <c r="AP57">
        <f t="shared" si="32"/>
        <v>420.20999999999992</v>
      </c>
      <c r="AQ57" s="2">
        <f t="shared" si="33"/>
        <v>220.88</v>
      </c>
      <c r="AR57">
        <f t="shared" si="34"/>
        <v>220.88</v>
      </c>
      <c r="AT57" s="2">
        <f t="shared" si="35"/>
        <v>207.60000000000002</v>
      </c>
      <c r="AU57">
        <f t="shared" si="36"/>
        <v>207.60000000000002</v>
      </c>
      <c r="AV57" s="2">
        <f t="shared" si="37"/>
        <v>0</v>
      </c>
      <c r="AW57">
        <f t="shared" si="38"/>
        <v>1000000</v>
      </c>
      <c r="BG57" s="127" t="str">
        <f t="shared" si="41"/>
        <v>PALMER</v>
      </c>
      <c r="BH57" s="128"/>
      <c r="BI57" s="5">
        <f t="shared" si="42"/>
        <v>0</v>
      </c>
      <c r="BJ57" s="5">
        <f t="shared" si="43"/>
        <v>0</v>
      </c>
      <c r="BK57" s="5">
        <f t="shared" si="44"/>
        <v>12.15</v>
      </c>
      <c r="BN57" s="5">
        <f t="shared" si="45"/>
        <v>0</v>
      </c>
      <c r="BW57" s="5">
        <f t="shared" si="46"/>
        <v>0</v>
      </c>
    </row>
    <row r="58" spans="26:75" x14ac:dyDescent="0.25">
      <c r="Z58" s="253">
        <v>0</v>
      </c>
      <c r="AA58" s="250">
        <v>0</v>
      </c>
      <c r="AB58" s="250">
        <v>1000000</v>
      </c>
      <c r="AC58" s="250">
        <f t="shared" si="28"/>
        <v>7467.37</v>
      </c>
      <c r="AD58" s="250"/>
      <c r="AE58" s="252">
        <f>IF(AC58&gt;$AG$4,0,IF(AC58&lt;AA59,"Exclude 15 lowest candidates",0))</f>
        <v>0</v>
      </c>
      <c r="AF58" s="250"/>
      <c r="AG58" s="250"/>
      <c r="AJ58">
        <f t="shared" si="29"/>
        <v>0</v>
      </c>
      <c r="AK58" s="2">
        <f t="shared" si="29"/>
        <v>0</v>
      </c>
      <c r="AL58">
        <f t="shared" si="39"/>
        <v>1000000</v>
      </c>
      <c r="AM58" s="2">
        <f t="shared" si="30"/>
        <v>999522.66</v>
      </c>
      <c r="AN58">
        <f t="shared" si="40"/>
        <v>999522.66</v>
      </c>
      <c r="AO58" s="2">
        <f t="shared" si="31"/>
        <v>999505.06</v>
      </c>
      <c r="AP58">
        <f t="shared" si="32"/>
        <v>999505.06</v>
      </c>
      <c r="AQ58" s="2">
        <f t="shared" si="33"/>
        <v>999305.7300000001</v>
      </c>
      <c r="AR58">
        <f t="shared" si="34"/>
        <v>999305.7300000001</v>
      </c>
      <c r="AT58" s="2">
        <f t="shared" si="35"/>
        <v>999292.45000000007</v>
      </c>
      <c r="AU58">
        <f t="shared" si="36"/>
        <v>999292.45000000007</v>
      </c>
      <c r="AV58" s="2">
        <f t="shared" si="37"/>
        <v>999084.85000000009</v>
      </c>
      <c r="AW58">
        <f t="shared" si="38"/>
        <v>999084.85000000009</v>
      </c>
      <c r="BG58" s="127" t="str">
        <f t="shared" si="41"/>
        <v>PORTER</v>
      </c>
      <c r="BH58" s="128"/>
      <c r="BI58" s="5">
        <f t="shared" si="42"/>
        <v>0</v>
      </c>
      <c r="BJ58" s="5">
        <f t="shared" si="43"/>
        <v>0</v>
      </c>
      <c r="BK58" s="5">
        <f t="shared" si="44"/>
        <v>6</v>
      </c>
      <c r="BN58" s="5">
        <f t="shared" si="45"/>
        <v>0</v>
      </c>
      <c r="BW58" s="5">
        <f t="shared" si="46"/>
        <v>0</v>
      </c>
    </row>
    <row r="59" spans="26:75" ht="12.75" customHeight="1" x14ac:dyDescent="0.25">
      <c r="Z59" s="253">
        <v>0</v>
      </c>
      <c r="AA59" s="250">
        <v>0</v>
      </c>
      <c r="AB59" s="250">
        <v>1000000</v>
      </c>
      <c r="AC59" s="250">
        <f t="shared" si="28"/>
        <v>7467.37</v>
      </c>
      <c r="AD59" s="250"/>
      <c r="AE59" s="252">
        <f>IF(AC59&gt;$AG$4,0,IF(AC59&lt;AA60,"Exclude 16 lowest candidates",0))</f>
        <v>0</v>
      </c>
      <c r="AF59" s="250"/>
      <c r="AG59" s="250"/>
      <c r="AJ59">
        <f t="shared" si="29"/>
        <v>0</v>
      </c>
      <c r="AK59" s="2">
        <f t="shared" si="29"/>
        <v>0</v>
      </c>
      <c r="AL59">
        <f t="shared" si="39"/>
        <v>1000000</v>
      </c>
      <c r="AM59" s="2">
        <f t="shared" si="30"/>
        <v>999522.66</v>
      </c>
      <c r="AN59">
        <f t="shared" si="40"/>
        <v>999522.66</v>
      </c>
      <c r="AO59" s="2">
        <f t="shared" si="31"/>
        <v>999505.06</v>
      </c>
      <c r="AP59">
        <f t="shared" si="32"/>
        <v>999505.06</v>
      </c>
      <c r="AQ59" s="2">
        <f t="shared" si="33"/>
        <v>999305.7300000001</v>
      </c>
      <c r="AR59">
        <f t="shared" si="34"/>
        <v>999305.7300000001</v>
      </c>
      <c r="AT59" s="2">
        <f t="shared" si="35"/>
        <v>999292.45000000007</v>
      </c>
      <c r="AU59">
        <f t="shared" si="36"/>
        <v>999292.45000000007</v>
      </c>
      <c r="AV59" s="2">
        <f t="shared" si="37"/>
        <v>999084.85000000009</v>
      </c>
      <c r="AW59">
        <f t="shared" si="38"/>
        <v>999084.85000000009</v>
      </c>
      <c r="BG59" s="127">
        <f t="shared" si="41"/>
        <v>0</v>
      </c>
      <c r="BH59" s="128"/>
      <c r="BI59" s="5">
        <f t="shared" si="42"/>
        <v>0</v>
      </c>
      <c r="BJ59" s="5">
        <f t="shared" si="43"/>
        <v>0</v>
      </c>
      <c r="BK59" s="5">
        <f t="shared" si="44"/>
        <v>0</v>
      </c>
      <c r="BN59" s="5">
        <f t="shared" si="45"/>
        <v>0</v>
      </c>
      <c r="BW59" s="5">
        <f t="shared" si="46"/>
        <v>0</v>
      </c>
    </row>
    <row r="60" spans="26:75" ht="12.75" customHeight="1" x14ac:dyDescent="0.25">
      <c r="Z60" s="253">
        <v>0</v>
      </c>
      <c r="AA60" s="250">
        <v>0</v>
      </c>
      <c r="AB60" s="250">
        <v>1000000</v>
      </c>
      <c r="AC60" s="250">
        <f t="shared" si="28"/>
        <v>7467.37</v>
      </c>
      <c r="AD60" s="250"/>
      <c r="AE60" s="252">
        <f>IF(AC60&gt;$AG$4,0,IF(AC60&lt;AA61,"Exclude 17 lowest candidates",0))</f>
        <v>0</v>
      </c>
      <c r="AF60" s="250"/>
      <c r="AG60" s="250"/>
      <c r="AJ60">
        <f t="shared" si="29"/>
        <v>0</v>
      </c>
      <c r="AK60" s="2">
        <f t="shared" si="29"/>
        <v>0</v>
      </c>
      <c r="AL60">
        <f t="shared" si="39"/>
        <v>1000000</v>
      </c>
      <c r="AM60" s="2">
        <f t="shared" si="30"/>
        <v>999522.66</v>
      </c>
      <c r="AN60">
        <f t="shared" si="40"/>
        <v>999522.66</v>
      </c>
      <c r="AO60" s="2">
        <f t="shared" si="31"/>
        <v>999505.06</v>
      </c>
      <c r="AP60">
        <f t="shared" si="32"/>
        <v>999505.06</v>
      </c>
      <c r="AQ60" s="2">
        <f t="shared" si="33"/>
        <v>999305.7300000001</v>
      </c>
      <c r="AR60">
        <f t="shared" si="34"/>
        <v>999305.7300000001</v>
      </c>
      <c r="AT60" s="2">
        <f t="shared" si="35"/>
        <v>999292.45000000007</v>
      </c>
      <c r="AU60">
        <f t="shared" si="36"/>
        <v>999292.45000000007</v>
      </c>
      <c r="AV60" s="2">
        <f t="shared" si="37"/>
        <v>999084.85000000009</v>
      </c>
      <c r="AW60">
        <f t="shared" si="38"/>
        <v>999084.85000000009</v>
      </c>
      <c r="BG60" s="127">
        <f t="shared" si="41"/>
        <v>0</v>
      </c>
      <c r="BH60" s="128"/>
      <c r="BI60" s="5">
        <f t="shared" si="42"/>
        <v>0</v>
      </c>
      <c r="BJ60" s="5">
        <f t="shared" si="43"/>
        <v>0</v>
      </c>
      <c r="BK60" s="5">
        <f t="shared" si="44"/>
        <v>0</v>
      </c>
      <c r="BN60" s="5">
        <f t="shared" si="45"/>
        <v>0</v>
      </c>
      <c r="BW60" s="5">
        <f t="shared" si="46"/>
        <v>0</v>
      </c>
    </row>
    <row r="61" spans="26:75" x14ac:dyDescent="0.25">
      <c r="Z61" s="253">
        <v>0</v>
      </c>
      <c r="AA61" s="250">
        <v>0</v>
      </c>
      <c r="AB61" s="250">
        <v>1000000</v>
      </c>
      <c r="AC61" s="250">
        <f t="shared" si="28"/>
        <v>7467.37</v>
      </c>
      <c r="AD61" s="250"/>
      <c r="AE61" s="252">
        <f>IF(AC61&gt;$AG$4,0,IF(AC61&lt;AA62,"Exclude 18 lowest candidates",0))</f>
        <v>0</v>
      </c>
      <c r="AF61" s="250"/>
      <c r="AG61" s="250"/>
      <c r="AJ61">
        <f t="shared" si="29"/>
        <v>0</v>
      </c>
      <c r="AK61" s="2">
        <f t="shared" si="29"/>
        <v>0</v>
      </c>
      <c r="AL61">
        <f t="shared" si="39"/>
        <v>1000000</v>
      </c>
      <c r="AM61" s="2">
        <f t="shared" si="30"/>
        <v>999522.66</v>
      </c>
      <c r="AN61">
        <f t="shared" si="40"/>
        <v>999522.66</v>
      </c>
      <c r="AO61" s="2">
        <f t="shared" si="31"/>
        <v>999505.06</v>
      </c>
      <c r="AP61">
        <f t="shared" si="32"/>
        <v>999505.06</v>
      </c>
      <c r="AQ61" s="2">
        <f t="shared" si="33"/>
        <v>999305.7300000001</v>
      </c>
      <c r="AR61">
        <f t="shared" si="34"/>
        <v>999305.7300000001</v>
      </c>
      <c r="AT61" s="2">
        <f t="shared" si="35"/>
        <v>999292.45000000007</v>
      </c>
      <c r="AU61">
        <f t="shared" si="36"/>
        <v>999292.45000000007</v>
      </c>
      <c r="AV61" s="2">
        <f t="shared" si="37"/>
        <v>999084.85000000009</v>
      </c>
      <c r="AW61">
        <f t="shared" si="38"/>
        <v>999084.85000000009</v>
      </c>
      <c r="BG61" s="127">
        <f t="shared" si="41"/>
        <v>0</v>
      </c>
      <c r="BH61" s="128"/>
      <c r="BI61" s="5">
        <f t="shared" si="42"/>
        <v>0</v>
      </c>
      <c r="BJ61" s="5">
        <f t="shared" si="43"/>
        <v>0</v>
      </c>
      <c r="BK61" s="5">
        <f t="shared" si="44"/>
        <v>0</v>
      </c>
      <c r="BN61" s="5">
        <f t="shared" si="45"/>
        <v>0</v>
      </c>
      <c r="BW61" s="5">
        <f t="shared" si="46"/>
        <v>0</v>
      </c>
    </row>
    <row r="62" spans="26:75" x14ac:dyDescent="0.25">
      <c r="Z62" s="253">
        <v>0</v>
      </c>
      <c r="AA62" s="250">
        <v>0</v>
      </c>
      <c r="AB62" s="250">
        <v>1000000</v>
      </c>
      <c r="AC62" s="250">
        <f t="shared" si="28"/>
        <v>7467.37</v>
      </c>
      <c r="AD62" s="250"/>
      <c r="AE62" s="252">
        <f>IF(AC62&gt;$AG$4,0,IF(AC62&lt;AA63,"Exclude 19 lowest candidates",0))</f>
        <v>0</v>
      </c>
      <c r="AF62" s="250"/>
      <c r="AG62" s="250"/>
      <c r="AJ62">
        <f t="shared" si="29"/>
        <v>0</v>
      </c>
      <c r="AK62" s="2">
        <f t="shared" si="29"/>
        <v>0</v>
      </c>
      <c r="AL62">
        <f t="shared" si="39"/>
        <v>1000000</v>
      </c>
      <c r="AM62" s="2">
        <f t="shared" si="30"/>
        <v>999522.66</v>
      </c>
      <c r="AN62">
        <f t="shared" si="40"/>
        <v>999522.66</v>
      </c>
      <c r="AO62" s="2">
        <f t="shared" si="31"/>
        <v>999505.06</v>
      </c>
      <c r="AP62">
        <f t="shared" si="32"/>
        <v>999505.06</v>
      </c>
      <c r="AQ62" s="2">
        <f t="shared" si="33"/>
        <v>999305.7300000001</v>
      </c>
      <c r="AR62">
        <f t="shared" si="34"/>
        <v>999305.7300000001</v>
      </c>
      <c r="AT62" s="2">
        <f t="shared" si="35"/>
        <v>999292.45000000007</v>
      </c>
      <c r="AU62">
        <f t="shared" si="36"/>
        <v>999292.45000000007</v>
      </c>
      <c r="AV62" s="2">
        <f t="shared" si="37"/>
        <v>999084.85000000009</v>
      </c>
      <c r="AW62">
        <f t="shared" si="38"/>
        <v>999084.85000000009</v>
      </c>
      <c r="BG62" s="127">
        <f t="shared" si="41"/>
        <v>0</v>
      </c>
      <c r="BH62" s="128"/>
      <c r="BI62" s="5">
        <f t="shared" si="42"/>
        <v>0</v>
      </c>
      <c r="BJ62" s="5">
        <f t="shared" si="43"/>
        <v>0</v>
      </c>
      <c r="BK62" s="5">
        <f t="shared" si="44"/>
        <v>0</v>
      </c>
      <c r="BN62" s="5">
        <f t="shared" si="45"/>
        <v>0</v>
      </c>
      <c r="BW62" s="5">
        <f t="shared" si="46"/>
        <v>0</v>
      </c>
    </row>
    <row r="63" spans="26:75" ht="13.5" customHeight="1" x14ac:dyDescent="0.25">
      <c r="Z63" s="253">
        <v>0</v>
      </c>
      <c r="AA63" s="250">
        <v>0</v>
      </c>
      <c r="AB63" s="250">
        <v>1000000</v>
      </c>
      <c r="AC63" s="250">
        <f t="shared" si="28"/>
        <v>7467.37</v>
      </c>
      <c r="AD63" s="250"/>
      <c r="AE63" s="252">
        <f>IF(AC63&gt;$AG$4,0,IF(AC63&lt;AA64,"Exclude 20 lowest candidates",0))</f>
        <v>0</v>
      </c>
      <c r="AF63" s="250"/>
      <c r="AG63" s="250"/>
      <c r="AJ63">
        <f t="shared" si="29"/>
        <v>0</v>
      </c>
      <c r="AK63" s="2">
        <f t="shared" si="29"/>
        <v>0</v>
      </c>
      <c r="AL63">
        <f t="shared" si="39"/>
        <v>1000000</v>
      </c>
      <c r="AM63" s="2">
        <f t="shared" si="30"/>
        <v>999522.66</v>
      </c>
      <c r="AN63">
        <f t="shared" si="40"/>
        <v>999522.66</v>
      </c>
      <c r="AO63" s="2">
        <f t="shared" si="31"/>
        <v>999505.06</v>
      </c>
      <c r="AP63">
        <f t="shared" si="32"/>
        <v>999505.06</v>
      </c>
      <c r="AQ63" s="2">
        <f t="shared" si="33"/>
        <v>999305.7300000001</v>
      </c>
      <c r="AR63">
        <f t="shared" si="34"/>
        <v>999305.7300000001</v>
      </c>
      <c r="AT63" s="2">
        <f t="shared" si="35"/>
        <v>999292.45000000007</v>
      </c>
      <c r="AU63">
        <f t="shared" si="36"/>
        <v>999292.45000000007</v>
      </c>
      <c r="AV63" s="2">
        <f t="shared" si="37"/>
        <v>999084.85000000009</v>
      </c>
      <c r="AW63">
        <f t="shared" si="38"/>
        <v>999084.85000000009</v>
      </c>
      <c r="BG63" s="127">
        <f t="shared" si="41"/>
        <v>0</v>
      </c>
      <c r="BH63" s="128"/>
      <c r="BI63" s="5">
        <f t="shared" si="42"/>
        <v>0</v>
      </c>
      <c r="BJ63" s="5">
        <f t="shared" si="43"/>
        <v>0</v>
      </c>
      <c r="BK63" s="5">
        <f t="shared" si="44"/>
        <v>0</v>
      </c>
      <c r="BN63" s="5">
        <f t="shared" si="45"/>
        <v>0</v>
      </c>
      <c r="BW63" s="5">
        <f t="shared" si="46"/>
        <v>0</v>
      </c>
    </row>
    <row r="64" spans="26:75" ht="15" customHeight="1" x14ac:dyDescent="0.25">
      <c r="AJ64">
        <f t="shared" ref="AJ64:AK67" si="47">Z30</f>
        <v>0</v>
      </c>
      <c r="AK64" s="2">
        <f t="shared" si="47"/>
        <v>0</v>
      </c>
      <c r="AL64">
        <f t="shared" si="39"/>
        <v>1000000</v>
      </c>
      <c r="AM64" s="2">
        <f t="shared" si="30"/>
        <v>999522.66</v>
      </c>
      <c r="AN64">
        <f t="shared" si="40"/>
        <v>999522.66</v>
      </c>
      <c r="AO64" s="2">
        <f t="shared" si="31"/>
        <v>999505.06</v>
      </c>
      <c r="AP64">
        <f t="shared" si="32"/>
        <v>999505.06</v>
      </c>
      <c r="AQ64" s="2">
        <f t="shared" si="33"/>
        <v>999305.7300000001</v>
      </c>
      <c r="AR64">
        <f t="shared" si="34"/>
        <v>999305.7300000001</v>
      </c>
      <c r="AT64" s="2">
        <f t="shared" si="35"/>
        <v>999292.45000000007</v>
      </c>
      <c r="AU64">
        <f t="shared" si="36"/>
        <v>999292.45000000007</v>
      </c>
      <c r="AV64" s="2">
        <f t="shared" si="37"/>
        <v>999084.85000000009</v>
      </c>
      <c r="AW64">
        <f t="shared" si="38"/>
        <v>999084.85000000009</v>
      </c>
      <c r="BG64" s="127">
        <f t="shared" si="41"/>
        <v>0</v>
      </c>
      <c r="BH64" s="128"/>
      <c r="BI64" s="5">
        <f t="shared" si="42"/>
        <v>0</v>
      </c>
      <c r="BJ64" s="5">
        <f t="shared" si="43"/>
        <v>0</v>
      </c>
      <c r="BK64" s="5">
        <f t="shared" si="44"/>
        <v>0</v>
      </c>
      <c r="BN64" s="5">
        <f t="shared" si="45"/>
        <v>0</v>
      </c>
      <c r="BW64" s="5">
        <f t="shared" si="46"/>
        <v>0</v>
      </c>
    </row>
    <row r="65" spans="36:75" x14ac:dyDescent="0.25">
      <c r="AJ65">
        <f t="shared" si="47"/>
        <v>0</v>
      </c>
      <c r="AK65" s="2">
        <f t="shared" si="47"/>
        <v>0</v>
      </c>
      <c r="AL65">
        <f t="shared" si="39"/>
        <v>1000000</v>
      </c>
      <c r="AM65" s="2">
        <f t="shared" si="30"/>
        <v>999522.66</v>
      </c>
      <c r="AN65">
        <f t="shared" si="40"/>
        <v>999522.66</v>
      </c>
      <c r="AO65" s="2">
        <f t="shared" si="31"/>
        <v>999505.06</v>
      </c>
      <c r="AP65">
        <f t="shared" si="32"/>
        <v>999505.06</v>
      </c>
      <c r="AQ65" s="2">
        <f t="shared" si="33"/>
        <v>999305.7300000001</v>
      </c>
      <c r="AR65">
        <f t="shared" si="34"/>
        <v>999305.7300000001</v>
      </c>
      <c r="AT65" s="2">
        <f t="shared" si="35"/>
        <v>999292.45000000007</v>
      </c>
      <c r="AU65">
        <f t="shared" si="36"/>
        <v>999292.45000000007</v>
      </c>
      <c r="AV65" s="2">
        <f t="shared" si="37"/>
        <v>999084.85000000009</v>
      </c>
      <c r="AW65">
        <f t="shared" si="38"/>
        <v>999084.85000000009</v>
      </c>
      <c r="BG65" s="127">
        <f t="shared" si="41"/>
        <v>0</v>
      </c>
      <c r="BH65" s="128"/>
      <c r="BI65" s="5">
        <f t="shared" si="42"/>
        <v>0</v>
      </c>
      <c r="BJ65" s="5">
        <f t="shared" si="43"/>
        <v>0</v>
      </c>
      <c r="BK65" s="5">
        <f t="shared" si="44"/>
        <v>0</v>
      </c>
      <c r="BN65" s="5">
        <f t="shared" si="45"/>
        <v>0</v>
      </c>
      <c r="BW65" s="5">
        <f t="shared" si="46"/>
        <v>0</v>
      </c>
    </row>
    <row r="66" spans="36:75" ht="14.25" customHeight="1" x14ac:dyDescent="0.25">
      <c r="AJ66">
        <f t="shared" si="47"/>
        <v>0</v>
      </c>
      <c r="AK66" s="2">
        <f t="shared" si="47"/>
        <v>0</v>
      </c>
      <c r="AL66">
        <f t="shared" si="39"/>
        <v>1000000</v>
      </c>
      <c r="AM66" s="2">
        <f t="shared" si="30"/>
        <v>999522.66</v>
      </c>
      <c r="AN66">
        <f t="shared" si="40"/>
        <v>999522.66</v>
      </c>
      <c r="AO66" s="2">
        <f t="shared" si="31"/>
        <v>999505.06</v>
      </c>
      <c r="AP66">
        <f t="shared" si="32"/>
        <v>999505.06</v>
      </c>
      <c r="AQ66" s="2">
        <f t="shared" si="33"/>
        <v>999305.7300000001</v>
      </c>
      <c r="AR66">
        <f t="shared" si="34"/>
        <v>999305.7300000001</v>
      </c>
      <c r="AT66" s="2">
        <f t="shared" si="35"/>
        <v>999292.45000000007</v>
      </c>
      <c r="AU66">
        <f t="shared" si="36"/>
        <v>999292.45000000007</v>
      </c>
      <c r="AV66" s="2">
        <f t="shared" si="37"/>
        <v>999084.85000000009</v>
      </c>
      <c r="AW66">
        <f t="shared" si="38"/>
        <v>999084.85000000009</v>
      </c>
      <c r="BG66" s="127">
        <f t="shared" si="41"/>
        <v>0</v>
      </c>
      <c r="BH66" s="128"/>
      <c r="BI66" s="5">
        <f t="shared" si="42"/>
        <v>0</v>
      </c>
      <c r="BJ66" s="5">
        <f t="shared" si="43"/>
        <v>0</v>
      </c>
      <c r="BK66" s="5">
        <f t="shared" si="44"/>
        <v>0</v>
      </c>
      <c r="BN66" s="5">
        <f t="shared" si="45"/>
        <v>0</v>
      </c>
      <c r="BW66" s="5">
        <f t="shared" si="46"/>
        <v>0</v>
      </c>
    </row>
    <row r="67" spans="36:75" x14ac:dyDescent="0.25">
      <c r="AJ67">
        <f t="shared" si="47"/>
        <v>0</v>
      </c>
      <c r="AK67" s="2">
        <f t="shared" si="47"/>
        <v>0</v>
      </c>
      <c r="AL67">
        <f t="shared" si="39"/>
        <v>1000000</v>
      </c>
      <c r="AM67" s="2">
        <f t="shared" si="30"/>
        <v>999522.66</v>
      </c>
      <c r="AN67">
        <f t="shared" si="40"/>
        <v>999522.66</v>
      </c>
      <c r="AO67" s="2">
        <f t="shared" si="31"/>
        <v>999505.06</v>
      </c>
      <c r="AP67">
        <f t="shared" si="32"/>
        <v>999505.06</v>
      </c>
      <c r="AQ67" s="2">
        <f t="shared" si="33"/>
        <v>999305.7300000001</v>
      </c>
      <c r="AR67">
        <f t="shared" si="34"/>
        <v>999305.7300000001</v>
      </c>
      <c r="AT67" s="2">
        <f t="shared" si="35"/>
        <v>999292.45000000007</v>
      </c>
      <c r="AU67">
        <f t="shared" si="36"/>
        <v>999292.45000000007</v>
      </c>
      <c r="AV67" s="2">
        <f t="shared" si="37"/>
        <v>999084.85000000009</v>
      </c>
      <c r="AW67">
        <f t="shared" si="38"/>
        <v>999084.85000000009</v>
      </c>
      <c r="BG67" s="127">
        <f t="shared" si="41"/>
        <v>0</v>
      </c>
      <c r="BH67" s="128"/>
      <c r="BI67" s="5">
        <f t="shared" si="42"/>
        <v>0</v>
      </c>
      <c r="BJ67" s="5">
        <f t="shared" si="43"/>
        <v>0</v>
      </c>
      <c r="BK67" s="5">
        <f t="shared" si="44"/>
        <v>0</v>
      </c>
      <c r="BN67" s="5">
        <f t="shared" si="45"/>
        <v>0</v>
      </c>
      <c r="BW67" s="5">
        <f t="shared" si="46"/>
        <v>0</v>
      </c>
    </row>
    <row r="68" spans="36:75" x14ac:dyDescent="0.25">
      <c r="BG68" s="129">
        <f t="shared" si="41"/>
        <v>0</v>
      </c>
      <c r="BH68" s="130"/>
      <c r="BI68" s="5">
        <f t="shared" si="42"/>
        <v>0</v>
      </c>
      <c r="BJ68" s="5">
        <f t="shared" si="43"/>
        <v>0</v>
      </c>
      <c r="BK68" s="5">
        <f t="shared" si="44"/>
        <v>0</v>
      </c>
      <c r="BN68" s="5">
        <f t="shared" si="45"/>
        <v>0</v>
      </c>
      <c r="BW68" s="5">
        <f t="shared" si="46"/>
        <v>0</v>
      </c>
    </row>
    <row r="69" spans="36:75" ht="12.75" customHeight="1" x14ac:dyDescent="0.25">
      <c r="BG69" t="s">
        <v>219</v>
      </c>
      <c r="BI69" s="5">
        <f>BG26</f>
        <v>0</v>
      </c>
      <c r="BJ69" s="5">
        <f>CE28</f>
        <v>35.320000000000007</v>
      </c>
      <c r="BK69" s="5">
        <f>BI69+BJ69</f>
        <v>35.320000000000007</v>
      </c>
      <c r="BW69" s="5">
        <f>SUM(BW49:BW68)</f>
        <v>477.34</v>
      </c>
    </row>
    <row r="70" spans="36:75" x14ac:dyDescent="0.25">
      <c r="BK70" s="5">
        <f>BG27+CE29</f>
        <v>477.34</v>
      </c>
    </row>
    <row r="82" spans="41:46" x14ac:dyDescent="0.25">
      <c r="AO82" s="5">
        <f>IF(AO20&lt;&gt;0,1,0)</f>
        <v>1</v>
      </c>
      <c r="AP82" s="5"/>
      <c r="AQ82" s="5">
        <f t="shared" ref="AQ82:AR88" si="48">IF(AQ20&lt;&gt;0,1,0)</f>
        <v>0</v>
      </c>
      <c r="AR82" s="19">
        <f t="shared" si="48"/>
        <v>0</v>
      </c>
      <c r="AS82" s="19"/>
      <c r="AT82" s="5">
        <f>SUM(AO82:AR82)</f>
        <v>1</v>
      </c>
    </row>
    <row r="83" spans="41:46" x14ac:dyDescent="0.25">
      <c r="AO83" s="5">
        <f t="shared" ref="AO83:AO88" si="49">IF(AO21&lt;&gt;0,1,0)</f>
        <v>0</v>
      </c>
      <c r="AP83" s="5"/>
      <c r="AQ83" s="5">
        <f t="shared" si="48"/>
        <v>0</v>
      </c>
      <c r="AR83" s="19">
        <f t="shared" si="48"/>
        <v>0</v>
      </c>
      <c r="AS83" s="19"/>
      <c r="AT83" s="5">
        <f t="shared" ref="AT83:AT88" si="50">SUM(AO83:AR83)</f>
        <v>0</v>
      </c>
    </row>
    <row r="84" spans="41:46" x14ac:dyDescent="0.25">
      <c r="AO84" s="5">
        <f t="shared" si="49"/>
        <v>0</v>
      </c>
      <c r="AP84" s="5"/>
      <c r="AQ84" s="5">
        <f t="shared" si="48"/>
        <v>0</v>
      </c>
      <c r="AR84" s="19">
        <f t="shared" si="48"/>
        <v>0</v>
      </c>
      <c r="AS84" s="19"/>
      <c r="AT84" s="5">
        <f t="shared" si="50"/>
        <v>0</v>
      </c>
    </row>
    <row r="85" spans="41:46" x14ac:dyDescent="0.25">
      <c r="AO85" s="5">
        <f t="shared" si="49"/>
        <v>0</v>
      </c>
      <c r="AP85" s="5"/>
      <c r="AQ85" s="5">
        <f t="shared" si="48"/>
        <v>0</v>
      </c>
      <c r="AR85" s="19">
        <f t="shared" si="48"/>
        <v>0</v>
      </c>
      <c r="AS85" s="19"/>
      <c r="AT85" s="5">
        <f t="shared" si="50"/>
        <v>0</v>
      </c>
    </row>
    <row r="86" spans="41:46" x14ac:dyDescent="0.25">
      <c r="AO86" s="5">
        <f t="shared" si="49"/>
        <v>0</v>
      </c>
      <c r="AP86" s="5"/>
      <c r="AQ86" s="5">
        <f t="shared" si="48"/>
        <v>0</v>
      </c>
      <c r="AR86" s="19">
        <f t="shared" si="48"/>
        <v>0</v>
      </c>
      <c r="AS86" s="19"/>
      <c r="AT86" s="5">
        <f t="shared" si="50"/>
        <v>0</v>
      </c>
    </row>
    <row r="87" spans="41:46" x14ac:dyDescent="0.25">
      <c r="AO87" s="5">
        <f t="shared" si="49"/>
        <v>0</v>
      </c>
      <c r="AP87" s="5"/>
      <c r="AQ87" s="5">
        <f t="shared" si="48"/>
        <v>0</v>
      </c>
      <c r="AR87" s="19">
        <f t="shared" si="48"/>
        <v>0</v>
      </c>
      <c r="AS87" s="19"/>
      <c r="AT87" s="5">
        <f t="shared" si="50"/>
        <v>0</v>
      </c>
    </row>
    <row r="88" spans="41:46" x14ac:dyDescent="0.25">
      <c r="AO88" s="5">
        <f t="shared" si="49"/>
        <v>0</v>
      </c>
      <c r="AP88" s="5"/>
      <c r="AQ88" s="5">
        <f t="shared" si="48"/>
        <v>0</v>
      </c>
      <c r="AR88" s="19">
        <f t="shared" si="48"/>
        <v>0</v>
      </c>
      <c r="AS88" s="19"/>
      <c r="AT88" s="5">
        <f t="shared" si="50"/>
        <v>0</v>
      </c>
    </row>
    <row r="89" spans="41:46" x14ac:dyDescent="0.25">
      <c r="AT89" s="5">
        <f>SUM(AT82:AT88)</f>
        <v>1</v>
      </c>
    </row>
    <row r="114" ht="12.75" customHeight="1" x14ac:dyDescent="0.25"/>
    <row r="209" spans="105:110" ht="18" x14ac:dyDescent="0.5">
      <c r="DA209" s="229" t="str">
        <f>A1 &amp; " - " &amp;A2&amp;" "&amp;D2</f>
        <v>Local Council Elections 2023 - District Electoral Area of Lisburn South</v>
      </c>
      <c r="DB209" s="230"/>
      <c r="DC209" s="230"/>
      <c r="DD209" s="230"/>
      <c r="DE209" s="325"/>
      <c r="DF209" s="326"/>
    </row>
    <row r="210" spans="105:110" ht="36" x14ac:dyDescent="0.5">
      <c r="DA210" s="231" t="s">
        <v>121</v>
      </c>
      <c r="DB210" s="231" t="s">
        <v>115</v>
      </c>
      <c r="DC210" s="231" t="s">
        <v>122</v>
      </c>
      <c r="DD210" s="231" t="s">
        <v>117</v>
      </c>
      <c r="DE210" s="231" t="s">
        <v>247</v>
      </c>
      <c r="DF210" s="231" t="s">
        <v>221</v>
      </c>
    </row>
    <row r="211" spans="105:110" ht="15.5" x14ac:dyDescent="0.35">
      <c r="DA211" s="232" t="str">
        <f>IF(A11="Elected","E",IF(A11="Excluded","Excluded",""))&amp;IF(B11&gt;0,B11,"")</f>
        <v>E1</v>
      </c>
      <c r="DB211" s="232" t="str">
        <f>C11</f>
        <v>EWING</v>
      </c>
      <c r="DC211" s="232" t="str">
        <f>D11</f>
        <v>D.U.P.</v>
      </c>
      <c r="DD211" s="233">
        <f>E11</f>
        <v>1139</v>
      </c>
      <c r="DE211" s="233">
        <f>N11</f>
        <v>0</v>
      </c>
      <c r="DF211" s="233">
        <f>O11</f>
        <v>1071</v>
      </c>
    </row>
    <row r="212" spans="105:110" ht="15.5" x14ac:dyDescent="0.35">
      <c r="DA212" s="232" t="str">
        <f t="shared" ref="DA212:DA230" si="51">IF(A12="Elected","E",IF(A12="Excluded","Excluded",""))&amp;IF(B12&gt;0,B12,"")</f>
        <v/>
      </c>
      <c r="DB212" s="232" t="str">
        <f t="shared" ref="DB212:DD227" si="52">C12</f>
        <v>FLYNN</v>
      </c>
      <c r="DC212" s="232" t="str">
        <f t="shared" si="52"/>
        <v>Sinn Féin</v>
      </c>
      <c r="DD212" s="233">
        <f t="shared" si="52"/>
        <v>493</v>
      </c>
      <c r="DE212" s="233">
        <f t="shared" ref="DE212:DF212" si="53">N12</f>
        <v>176.15</v>
      </c>
      <c r="DF212" s="233">
        <f t="shared" si="53"/>
        <v>671.09</v>
      </c>
    </row>
    <row r="213" spans="105:110" ht="15.5" x14ac:dyDescent="0.35">
      <c r="DA213" s="232" t="str">
        <f t="shared" si="51"/>
        <v>Excluded</v>
      </c>
      <c r="DB213" s="232" t="str">
        <f t="shared" si="52"/>
        <v>FRENCH</v>
      </c>
      <c r="DC213" s="232" t="str">
        <f t="shared" si="52"/>
        <v xml:space="preserve">SDLP </v>
      </c>
      <c r="DD213" s="233">
        <f t="shared" si="52"/>
        <v>472</v>
      </c>
      <c r="DE213" s="233">
        <f t="shared" ref="DE213:DF213" si="54">N13</f>
        <v>-477.34</v>
      </c>
      <c r="DF213" s="233">
        <f t="shared" si="54"/>
        <v>0</v>
      </c>
    </row>
    <row r="214" spans="105:110" ht="15.5" x14ac:dyDescent="0.35">
      <c r="DA214" s="232" t="str">
        <f t="shared" si="51"/>
        <v>E3</v>
      </c>
      <c r="DB214" s="232" t="str">
        <f t="shared" si="52"/>
        <v>GIVAN</v>
      </c>
      <c r="DC214" s="232" t="str">
        <f t="shared" si="52"/>
        <v>D.U.P.</v>
      </c>
      <c r="DD214" s="233">
        <f t="shared" si="52"/>
        <v>1038</v>
      </c>
      <c r="DE214" s="233">
        <f t="shared" ref="DE214:DF214" si="55">N14</f>
        <v>0</v>
      </c>
      <c r="DF214" s="233">
        <f t="shared" si="55"/>
        <v>1071</v>
      </c>
    </row>
    <row r="215" spans="105:110" ht="15.5" x14ac:dyDescent="0.35">
      <c r="DA215" s="232" t="str">
        <f t="shared" si="51"/>
        <v>E2</v>
      </c>
      <c r="DB215" s="232" t="str">
        <f t="shared" si="52"/>
        <v>GREHAN</v>
      </c>
      <c r="DC215" s="232" t="str">
        <f t="shared" si="52"/>
        <v>Alliance Party</v>
      </c>
      <c r="DD215" s="233">
        <f t="shared" si="52"/>
        <v>1111</v>
      </c>
      <c r="DE215" s="233">
        <f t="shared" ref="DE215:DF215" si="56">N15</f>
        <v>0</v>
      </c>
      <c r="DF215" s="233">
        <f t="shared" si="56"/>
        <v>1071</v>
      </c>
    </row>
    <row r="216" spans="105:110" ht="15.5" x14ac:dyDescent="0.35">
      <c r="DA216" s="232" t="str">
        <f t="shared" si="51"/>
        <v/>
      </c>
      <c r="DB216" s="232" t="str">
        <f t="shared" si="52"/>
        <v>KENNEDY</v>
      </c>
      <c r="DC216" s="232" t="str">
        <f t="shared" si="52"/>
        <v>Alliance Party</v>
      </c>
      <c r="DD216" s="233">
        <f t="shared" si="52"/>
        <v>674</v>
      </c>
      <c r="DE216" s="233">
        <f t="shared" ref="DE216:DF216" si="57">N16</f>
        <v>241.72</v>
      </c>
      <c r="DF216" s="233">
        <f t="shared" si="57"/>
        <v>949.27</v>
      </c>
    </row>
    <row r="217" spans="105:110" ht="15.5" x14ac:dyDescent="0.35">
      <c r="DA217" s="232" t="str">
        <f t="shared" si="51"/>
        <v>Excluded</v>
      </c>
      <c r="DB217" s="232" t="str">
        <f t="shared" si="52"/>
        <v>MCEVOY</v>
      </c>
      <c r="DC217" s="232" t="str">
        <f t="shared" si="52"/>
        <v xml:space="preserve">TUV </v>
      </c>
      <c r="DD217" s="233">
        <f t="shared" si="52"/>
        <v>387</v>
      </c>
      <c r="DE217" s="233">
        <f t="shared" ref="DE217:DF217" si="58">N17</f>
        <v>0</v>
      </c>
      <c r="DF217" s="233">
        <f t="shared" si="58"/>
        <v>0</v>
      </c>
    </row>
    <row r="218" spans="105:110" ht="15.5" x14ac:dyDescent="0.35">
      <c r="DA218" s="232" t="str">
        <f t="shared" si="51"/>
        <v/>
      </c>
      <c r="DB218" s="232" t="str">
        <f t="shared" si="52"/>
        <v>MITCHELL</v>
      </c>
      <c r="DC218" s="232" t="str">
        <f t="shared" si="52"/>
        <v>UUP</v>
      </c>
      <c r="DD218" s="233">
        <f t="shared" si="52"/>
        <v>870</v>
      </c>
      <c r="DE218" s="233">
        <f t="shared" ref="DE218:DF218" si="59">N18</f>
        <v>6</v>
      </c>
      <c r="DF218" s="233">
        <f t="shared" si="59"/>
        <v>971.12</v>
      </c>
    </row>
    <row r="219" spans="105:110" ht="15.5" x14ac:dyDescent="0.35">
      <c r="DA219" s="232" t="str">
        <f t="shared" si="51"/>
        <v/>
      </c>
      <c r="DB219" s="232" t="str">
        <f t="shared" si="52"/>
        <v>PALMER</v>
      </c>
      <c r="DC219" s="232" t="str">
        <f t="shared" si="52"/>
        <v>UUP</v>
      </c>
      <c r="DD219" s="233">
        <f t="shared" si="52"/>
        <v>625</v>
      </c>
      <c r="DE219" s="233">
        <f t="shared" ref="DE219:DF219" si="60">N19</f>
        <v>12.15</v>
      </c>
      <c r="DF219" s="233">
        <f t="shared" si="60"/>
        <v>706.42</v>
      </c>
    </row>
    <row r="220" spans="105:110" ht="15.5" x14ac:dyDescent="0.35">
      <c r="DA220" s="232" t="str">
        <f t="shared" si="51"/>
        <v/>
      </c>
      <c r="DB220" s="232" t="str">
        <f t="shared" si="52"/>
        <v>PORTER</v>
      </c>
      <c r="DC220" s="232" t="str">
        <f t="shared" si="52"/>
        <v>D.U.P.</v>
      </c>
      <c r="DD220" s="233">
        <f t="shared" si="52"/>
        <v>687</v>
      </c>
      <c r="DE220" s="233">
        <f t="shared" ref="DE220:DF220" si="61">N20</f>
        <v>6</v>
      </c>
      <c r="DF220" s="233">
        <f t="shared" si="61"/>
        <v>921.15</v>
      </c>
    </row>
    <row r="221" spans="105:110" ht="15.5" x14ac:dyDescent="0.35">
      <c r="DA221" s="232" t="str">
        <f t="shared" si="51"/>
        <v/>
      </c>
      <c r="DB221" s="232">
        <f t="shared" si="52"/>
        <v>0</v>
      </c>
      <c r="DC221" s="232">
        <f t="shared" si="52"/>
        <v>0</v>
      </c>
      <c r="DD221" s="233">
        <f t="shared" si="52"/>
        <v>0</v>
      </c>
      <c r="DE221" s="233">
        <f t="shared" ref="DE221:DF221" si="62">N21</f>
        <v>0</v>
      </c>
      <c r="DF221" s="233">
        <f t="shared" si="62"/>
        <v>0</v>
      </c>
    </row>
    <row r="222" spans="105:110" ht="15.5" x14ac:dyDescent="0.35">
      <c r="DA222" s="232" t="str">
        <f t="shared" si="51"/>
        <v/>
      </c>
      <c r="DB222" s="232">
        <f t="shared" si="52"/>
        <v>0</v>
      </c>
      <c r="DC222" s="232">
        <f t="shared" si="52"/>
        <v>0</v>
      </c>
      <c r="DD222" s="233">
        <f t="shared" si="52"/>
        <v>0</v>
      </c>
      <c r="DE222" s="233">
        <f t="shared" ref="DE222:DF222" si="63">N22</f>
        <v>0</v>
      </c>
      <c r="DF222" s="233">
        <f t="shared" si="63"/>
        <v>0</v>
      </c>
    </row>
    <row r="223" spans="105:110" ht="15.5" x14ac:dyDescent="0.35">
      <c r="DA223" s="232" t="str">
        <f t="shared" si="51"/>
        <v/>
      </c>
      <c r="DB223" s="232">
        <f t="shared" si="52"/>
        <v>0</v>
      </c>
      <c r="DC223" s="232">
        <f t="shared" si="52"/>
        <v>0</v>
      </c>
      <c r="DD223" s="233">
        <f t="shared" si="52"/>
        <v>0</v>
      </c>
      <c r="DE223" s="233">
        <f t="shared" ref="DE223:DF223" si="64">N23</f>
        <v>0</v>
      </c>
      <c r="DF223" s="233">
        <f t="shared" si="64"/>
        <v>0</v>
      </c>
    </row>
    <row r="224" spans="105:110" ht="15.5" x14ac:dyDescent="0.35">
      <c r="DA224" s="232" t="str">
        <f t="shared" si="51"/>
        <v/>
      </c>
      <c r="DB224" s="232">
        <f t="shared" si="52"/>
        <v>0</v>
      </c>
      <c r="DC224" s="232">
        <f t="shared" si="52"/>
        <v>0</v>
      </c>
      <c r="DD224" s="233">
        <f t="shared" si="52"/>
        <v>0</v>
      </c>
      <c r="DE224" s="233">
        <f t="shared" ref="DE224:DF224" si="65">N24</f>
        <v>0</v>
      </c>
      <c r="DF224" s="233">
        <f t="shared" si="65"/>
        <v>0</v>
      </c>
    </row>
    <row r="225" spans="105:110" ht="15.5" x14ac:dyDescent="0.35">
      <c r="DA225" s="232" t="str">
        <f t="shared" si="51"/>
        <v/>
      </c>
      <c r="DB225" s="232">
        <f t="shared" si="52"/>
        <v>0</v>
      </c>
      <c r="DC225" s="232">
        <f t="shared" si="52"/>
        <v>0</v>
      </c>
      <c r="DD225" s="233">
        <f t="shared" si="52"/>
        <v>0</v>
      </c>
      <c r="DE225" s="233">
        <f t="shared" ref="DE225:DF225" si="66">N25</f>
        <v>0</v>
      </c>
      <c r="DF225" s="233">
        <f t="shared" si="66"/>
        <v>0</v>
      </c>
    </row>
    <row r="226" spans="105:110" ht="15.5" x14ac:dyDescent="0.35">
      <c r="DA226" s="232" t="str">
        <f t="shared" si="51"/>
        <v/>
      </c>
      <c r="DB226" s="232">
        <f t="shared" si="52"/>
        <v>0</v>
      </c>
      <c r="DC226" s="232">
        <f t="shared" si="52"/>
        <v>0</v>
      </c>
      <c r="DD226" s="233">
        <f t="shared" si="52"/>
        <v>0</v>
      </c>
      <c r="DE226" s="233">
        <f t="shared" ref="DE226:DF226" si="67">N26</f>
        <v>0</v>
      </c>
      <c r="DF226" s="233">
        <f t="shared" si="67"/>
        <v>0</v>
      </c>
    </row>
    <row r="227" spans="105:110" ht="15.5" x14ac:dyDescent="0.35">
      <c r="DA227" s="232" t="str">
        <f t="shared" si="51"/>
        <v/>
      </c>
      <c r="DB227" s="232">
        <f t="shared" si="52"/>
        <v>0</v>
      </c>
      <c r="DC227" s="232">
        <f t="shared" si="52"/>
        <v>0</v>
      </c>
      <c r="DD227" s="233">
        <f t="shared" si="52"/>
        <v>0</v>
      </c>
      <c r="DE227" s="233">
        <f t="shared" ref="DE227:DF227" si="68">N27</f>
        <v>0</v>
      </c>
      <c r="DF227" s="233">
        <f t="shared" si="68"/>
        <v>0</v>
      </c>
    </row>
    <row r="228" spans="105:110" ht="15.5" x14ac:dyDescent="0.35">
      <c r="DA228" s="232" t="str">
        <f t="shared" si="51"/>
        <v/>
      </c>
      <c r="DB228" s="232">
        <f t="shared" ref="DB228:DD230" si="69">C28</f>
        <v>0</v>
      </c>
      <c r="DC228" s="232">
        <f t="shared" si="69"/>
        <v>0</v>
      </c>
      <c r="DD228" s="233">
        <f t="shared" si="69"/>
        <v>0</v>
      </c>
      <c r="DE228" s="233">
        <f t="shared" ref="DE228:DF228" si="70">N28</f>
        <v>0</v>
      </c>
      <c r="DF228" s="233">
        <f t="shared" si="70"/>
        <v>0</v>
      </c>
    </row>
    <row r="229" spans="105:110" ht="15.5" x14ac:dyDescent="0.35">
      <c r="DA229" s="232" t="str">
        <f t="shared" si="51"/>
        <v/>
      </c>
      <c r="DB229" s="232">
        <f t="shared" si="69"/>
        <v>0</v>
      </c>
      <c r="DC229" s="232">
        <f t="shared" si="69"/>
        <v>0</v>
      </c>
      <c r="DD229" s="233">
        <f t="shared" si="69"/>
        <v>0</v>
      </c>
      <c r="DE229" s="233">
        <f t="shared" ref="DE229:DF229" si="71">N29</f>
        <v>0</v>
      </c>
      <c r="DF229" s="233">
        <f t="shared" si="71"/>
        <v>0</v>
      </c>
    </row>
    <row r="230" spans="105:110" ht="15.5" x14ac:dyDescent="0.35">
      <c r="DA230" s="232" t="str">
        <f t="shared" si="51"/>
        <v/>
      </c>
      <c r="DB230" s="232">
        <f t="shared" si="69"/>
        <v>0</v>
      </c>
      <c r="DC230" s="232">
        <f t="shared" si="69"/>
        <v>0</v>
      </c>
      <c r="DD230" s="233">
        <f t="shared" si="69"/>
        <v>0</v>
      </c>
      <c r="DE230" s="233">
        <f t="shared" ref="DE230:DF230" si="72">N30</f>
        <v>0</v>
      </c>
      <c r="DF230" s="233">
        <f t="shared" si="72"/>
        <v>0</v>
      </c>
    </row>
    <row r="231" spans="105:110" ht="15.5" x14ac:dyDescent="0.35">
      <c r="DC231" s="234" t="s">
        <v>123</v>
      </c>
      <c r="DD231" s="234"/>
      <c r="DE231" s="233">
        <f t="shared" ref="DE231:DF231" si="73">N31</f>
        <v>35.320000000000007</v>
      </c>
      <c r="DF231" s="233">
        <f t="shared" si="73"/>
        <v>63.94999999999991</v>
      </c>
    </row>
    <row r="232" spans="105:110" ht="15.5" x14ac:dyDescent="0.35">
      <c r="DC232" s="234" t="s">
        <v>124</v>
      </c>
      <c r="DD232" s="233">
        <f>E32</f>
        <v>7496</v>
      </c>
      <c r="DE232" s="234"/>
      <c r="DF232" s="233">
        <f t="shared" ref="DF232" si="74">O32</f>
        <v>7496</v>
      </c>
    </row>
  </sheetData>
  <sheetProtection sheet="1" objects="1" scenarios="1"/>
  <protectedRanges>
    <protectedRange sqref="BH5:BH24" name="Range25"/>
    <protectedRange sqref="BH5:BH24" name="Range24"/>
    <protectedRange sqref="BH5:BH24" name="Range21"/>
    <protectedRange sqref="BH5:BH24" name="Range22"/>
    <protectedRange sqref="BH5:BH24" name="Range23"/>
    <protectedRange sqref="BF26" name="Range7"/>
    <protectedRange sqref="BF5:BF24" name="Range6"/>
    <protectedRange sqref="BC13:BC14" name="Range5"/>
    <protectedRange sqref="BC10" name="Range4"/>
    <protectedRange sqref="O34:O36" name="Range1"/>
    <protectedRange sqref="BT3:BZ3" name="Range8"/>
    <protectedRange sqref="BP8:BP27" name="Range9"/>
    <protectedRange sqref="BS8:BS28" name="Range10"/>
    <protectedRange sqref="BU8:BU28" name="Range11"/>
    <protectedRange sqref="BW8:BW28" name="Range12"/>
    <protectedRange sqref="BX6" name="Range13"/>
    <protectedRange sqref="BY8:BY28" name="Range14"/>
    <protectedRange sqref="BZ6" name="Range15"/>
    <protectedRange sqref="CA8:CA28" name="Range16"/>
    <protectedRange sqref="CB6" name="Range17"/>
    <protectedRange sqref="CC8:CC28" name="Range18"/>
    <protectedRange sqref="CD6" name="Range19"/>
    <protectedRange sqref="AQ5" name="Range3_1"/>
  </protectedRanges>
  <mergeCells count="83">
    <mergeCell ref="AJ25:AK25"/>
    <mergeCell ref="AJ24:AK24"/>
    <mergeCell ref="AO24:AP24"/>
    <mergeCell ref="AO25:AP25"/>
    <mergeCell ref="AZ22:AZ23"/>
    <mergeCell ref="AJ22:AK22"/>
    <mergeCell ref="AL31:AQ32"/>
    <mergeCell ref="BF30:BG32"/>
    <mergeCell ref="BI30:BK31"/>
    <mergeCell ref="BX30:BY32"/>
    <mergeCell ref="AO22:AP22"/>
    <mergeCell ref="AO23:AP23"/>
    <mergeCell ref="AL28:AQ29"/>
    <mergeCell ref="J6:K6"/>
    <mergeCell ref="J7:K7"/>
    <mergeCell ref="AN13:AN19"/>
    <mergeCell ref="Z6:AF7"/>
    <mergeCell ref="V8:W8"/>
    <mergeCell ref="P8:Q8"/>
    <mergeCell ref="P7:Q7"/>
    <mergeCell ref="T9:U9"/>
    <mergeCell ref="N7:O7"/>
    <mergeCell ref="T8:U8"/>
    <mergeCell ref="P9:Q9"/>
    <mergeCell ref="R9:S9"/>
    <mergeCell ref="K1:L1"/>
    <mergeCell ref="H3:I3"/>
    <mergeCell ref="O4:S4"/>
    <mergeCell ref="O3:S3"/>
    <mergeCell ref="H4:I4"/>
    <mergeCell ref="E3:F3"/>
    <mergeCell ref="O2:S2"/>
    <mergeCell ref="AK6:AP7"/>
    <mergeCell ref="Z3:AF3"/>
    <mergeCell ref="AM13:AM17"/>
    <mergeCell ref="AO13:AO17"/>
    <mergeCell ref="L6:M6"/>
    <mergeCell ref="N6:O6"/>
    <mergeCell ref="Z4:AF4"/>
    <mergeCell ref="L7:M7"/>
    <mergeCell ref="Z2:AF2"/>
    <mergeCell ref="E4:F4"/>
    <mergeCell ref="F6:G6"/>
    <mergeCell ref="H6:I6"/>
    <mergeCell ref="F7:G7"/>
    <mergeCell ref="H7:I7"/>
    <mergeCell ref="CB2:CE2"/>
    <mergeCell ref="BI3:BK3"/>
    <mergeCell ref="BT3:BZ3"/>
    <mergeCell ref="V6:W6"/>
    <mergeCell ref="V7:W7"/>
    <mergeCell ref="U4:W4"/>
    <mergeCell ref="AL3:AQ3"/>
    <mergeCell ref="T6:U6"/>
    <mergeCell ref="T7:U7"/>
    <mergeCell ref="BP5:BP7"/>
    <mergeCell ref="AQ6:AR7"/>
    <mergeCell ref="F9:G9"/>
    <mergeCell ref="H9:I9"/>
    <mergeCell ref="J9:K9"/>
    <mergeCell ref="L9:M9"/>
    <mergeCell ref="N9:O9"/>
    <mergeCell ref="F8:G8"/>
    <mergeCell ref="H8:I8"/>
    <mergeCell ref="J8:K8"/>
    <mergeCell ref="L8:M8"/>
    <mergeCell ref="N8:O8"/>
    <mergeCell ref="DE209:DF209"/>
    <mergeCell ref="P6:Q6"/>
    <mergeCell ref="R8:S8"/>
    <mergeCell ref="R7:S7"/>
    <mergeCell ref="R6:S6"/>
    <mergeCell ref="AQ9:AR10"/>
    <mergeCell ref="AK9:AP10"/>
    <mergeCell ref="AL13:AL17"/>
    <mergeCell ref="AQ13:AQ17"/>
    <mergeCell ref="AP13:AP17"/>
    <mergeCell ref="AJ23:AK23"/>
    <mergeCell ref="AJ21:AK21"/>
    <mergeCell ref="AO21:AP21"/>
    <mergeCell ref="AJ20:AK20"/>
    <mergeCell ref="AO20:AP20"/>
    <mergeCell ref="CB31:CE32"/>
  </mergeCells>
  <phoneticPr fontId="0" type="noConversion"/>
  <conditionalFormatting sqref="V4:W4">
    <cfRule type="cellIs" dxfId="113" priority="1" stopIfTrue="1" operator="equal">
      <formula>"Totals Correct"</formula>
    </cfRule>
    <cfRule type="cellIs" dxfId="112" priority="2" stopIfTrue="1" operator="equal">
      <formula>"ERROR"</formula>
    </cfRule>
  </conditionalFormatting>
  <conditionalFormatting sqref="U4">
    <cfRule type="cellIs" dxfId="111" priority="3" stopIfTrue="1" operator="equal">
      <formula>"OK TO MOVE TO NEXT STAGE"</formula>
    </cfRule>
    <cfRule type="cellIs" dxfId="110" priority="4" stopIfTrue="1" operator="equal">
      <formula>"DO NOT MOVE TO NEXT STAGE"</formula>
    </cfRule>
  </conditionalFormatting>
  <conditionalFormatting sqref="AL3">
    <cfRule type="cellIs" dxfId="109" priority="5" stopIfTrue="1" operator="notEqual">
      <formula>0</formula>
    </cfRule>
  </conditionalFormatting>
  <conditionalFormatting sqref="BF30:BG31">
    <cfRule type="cellIs" dxfId="108" priority="6" stopIfTrue="1" operator="equal">
      <formula>"NONE"</formula>
    </cfRule>
    <cfRule type="cellIs" dxfId="107" priority="7" stopIfTrue="1" operator="notEqual">
      <formula>"NONE"</formula>
    </cfRule>
  </conditionalFormatting>
  <conditionalFormatting sqref="BX30">
    <cfRule type="cellIs" dxfId="106" priority="8" stopIfTrue="1" operator="equal">
      <formula>"Calculations OK"</formula>
    </cfRule>
    <cfRule type="cellIs" dxfId="105" priority="9" stopIfTrue="1" operator="equal">
      <formula>"Check Count for Error"</formula>
    </cfRule>
  </conditionalFormatting>
  <hyperlinks>
    <hyperlink ref="O4" location="'Stage 3'!A1" display="MOVE TO STAGE 3"/>
    <hyperlink ref="O2" location="'Stage 3'!A1" display="MOVE TO STAGE 3"/>
    <hyperlink ref="O2:S2" location="'Stage 6'!Y1:AR1" display="BACK to DECISION FORM Stage 6"/>
    <hyperlink ref="O4:S4" location="'Stage 7'!Y1:AR1" display="FORWARD TO STAGE 7"/>
    <hyperlink ref="Z6:AF7" location="'Stage 5'!A1" display="BACK to Overview of STAGE 5"/>
    <hyperlink ref="AL28" location="'Stage 2'!BI1" display="MOVE TO TRANSFER OF SURPLUS VOTES FORM"/>
    <hyperlink ref="AL31" location="'Stage 2'!CC1" display="MOVE TO EXCLUDE CANDIDATE FORM"/>
    <hyperlink ref="AL28:AQ29" location="'Stage 6'!AY1:BK1" display="MOVE TO TRANSFER OF SURPLUS VOTES FORM"/>
    <hyperlink ref="AL31:AQ32" location="'Stage 6'!BN1:CE1" display="MOVE TO EXCLUDE CANDIDATE FORM"/>
    <hyperlink ref="BI30:BK31" location="'Stage 6'!A1" display="FORWARD to OVERVIEW OF STAGE 6"/>
    <hyperlink ref="BI3" location="'Stage 2'!AQ5" display="MOVE TO NEXT FORM"/>
    <hyperlink ref="BI3:BK3" location="'Stage 6'!Y1:AR1" display="BACK to DECISION FORM"/>
    <hyperlink ref="CB2" location="'Stage 2'!AQ5" display="MOVE TO NEXT FORM"/>
    <hyperlink ref="CB2:CE2" location="'Stage 6'!Y1:AR1" display="BACK to DECISION FORM"/>
    <hyperlink ref="CB31" location="'Stage 2'!A1" display="HOME TO OVERVIEW OF STAGE 2"/>
    <hyperlink ref="CB31:CE32" location="'Stage 6'!A1" display="FORWARD to OVERVIEW OF STAGE 6"/>
  </hyperlinks>
  <pageMargins left="0.75" right="0.75" top="1" bottom="1" header="0.5" footer="0.5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73BDF64AA034480E08CDE502F644E" ma:contentTypeVersion="4" ma:contentTypeDescription="Create a new document." ma:contentTypeScope="" ma:versionID="a6933d138230ba6766893b18db305aaa">
  <xsd:schema xmlns:xsd="http://www.w3.org/2001/XMLSchema" xmlns:xs="http://www.w3.org/2001/XMLSchema" xmlns:p="http://schemas.microsoft.com/office/2006/metadata/properties" xmlns:ns2="6416cfae-c632-4f1e-8af0-8eca54e1a196" xmlns:ns3="e2d2b2c9-2875-4b92-bd0b-68db2f4f5b67" targetNamespace="http://schemas.microsoft.com/office/2006/metadata/properties" ma:root="true" ma:fieldsID="7f50c671eddc06b1f3a09fe873a75907" ns2:_="" ns3:_="">
    <xsd:import namespace="6416cfae-c632-4f1e-8af0-8eca54e1a196"/>
    <xsd:import namespace="e2d2b2c9-2875-4b92-bd0b-68db2f4f5b6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6cfae-c632-4f1e-8af0-8eca54e1a19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2b2c9-2875-4b92-bd0b-68db2f4f5b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146EF8-4737-4E08-A8D1-A08608BE72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16cfae-c632-4f1e-8af0-8eca54e1a196"/>
    <ds:schemaRef ds:uri="e2d2b2c9-2875-4b92-bd0b-68db2f4f5b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23BE1E-6223-44DC-894C-7FB898E8B6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C2E03D-0168-49D1-BE5C-051C530EDE1D}">
  <ds:schemaRefs>
    <ds:schemaRef ds:uri="http://schemas.microsoft.com/office/2006/metadata/properties"/>
    <ds:schemaRef ds:uri="e2d2b2c9-2875-4b92-bd0b-68db2f4f5b67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6416cfae-c632-4f1e-8af0-8eca54e1a196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8</vt:i4>
      </vt:variant>
    </vt:vector>
  </HeadingPairs>
  <TitlesOfParts>
    <vt:vector size="30" baseType="lpstr">
      <vt:lpstr>Instructions Rules</vt:lpstr>
      <vt:lpstr>Basic Input</vt:lpstr>
      <vt:lpstr>Verification of Boxes</vt:lpstr>
      <vt:lpstr>Overview Stage 1</vt:lpstr>
      <vt:lpstr>Stage 2</vt:lpstr>
      <vt:lpstr>Stage 3</vt:lpstr>
      <vt:lpstr>Stage 4</vt:lpstr>
      <vt:lpstr>Stage 5</vt:lpstr>
      <vt:lpstr>Stage 6</vt:lpstr>
      <vt:lpstr>Stage 7</vt:lpstr>
      <vt:lpstr>Stage 8</vt:lpstr>
      <vt:lpstr>Stage 9</vt:lpstr>
      <vt:lpstr>Stage 10</vt:lpstr>
      <vt:lpstr>Stage 11</vt:lpstr>
      <vt:lpstr>Stage 12</vt:lpstr>
      <vt:lpstr>Stage 13</vt:lpstr>
      <vt:lpstr>Stage 14</vt:lpstr>
      <vt:lpstr>Stage 15</vt:lpstr>
      <vt:lpstr>Stage 16</vt:lpstr>
      <vt:lpstr>Stage 17</vt:lpstr>
      <vt:lpstr>Stage 18</vt:lpstr>
      <vt:lpstr>Count Stats</vt:lpstr>
      <vt:lpstr>'Stage 11'!Print_Area</vt:lpstr>
      <vt:lpstr>'Stage 12'!Print_Area</vt:lpstr>
      <vt:lpstr>'Stage 13'!Print_Area</vt:lpstr>
      <vt:lpstr>'Stage 14'!Print_Area</vt:lpstr>
      <vt:lpstr>'Stage 15'!Print_Area</vt:lpstr>
      <vt:lpstr>'Stage 16'!Print_Area</vt:lpstr>
      <vt:lpstr>'Stage 17'!Print_Area</vt:lpstr>
      <vt:lpstr>'Stage 18'!Print_Area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Dermott McCurdy</dc:creator>
  <cp:keywords/>
  <dc:description/>
  <cp:lastModifiedBy>Jayne Boyde</cp:lastModifiedBy>
  <cp:revision/>
  <dcterms:created xsi:type="dcterms:W3CDTF">2003-11-25T09:48:36Z</dcterms:created>
  <dcterms:modified xsi:type="dcterms:W3CDTF">2023-05-19T18:05:35Z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0x01010045373BDF64AA034480E08CDE502F644E</vt:lpwstr>
  </property>
</Properties>
</file>