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Castlereagh South\"/>
    </mc:Choice>
  </mc:AlternateContent>
  <bookViews>
    <workbookView xWindow="0" yWindow="0" windowWidth="22560" windowHeight="10670" tabRatio="836" firstSheet="7" activeTab="10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5" s="1"/>
  <c r="B13" i="36" s="1"/>
  <c r="B13" i="37" s="1"/>
  <c r="B13" i="38" s="1"/>
  <c r="B13" i="39" s="1"/>
  <c r="B13" i="40" s="1"/>
  <c r="B13" i="41" s="1"/>
  <c r="B14" i="24"/>
  <c r="B14" i="34" s="1"/>
  <c r="B14" i="35" s="1"/>
  <c r="B14" i="36" s="1"/>
  <c r="B14" i="37" s="1"/>
  <c r="B14" i="38" s="1"/>
  <c r="B14" i="39" s="1"/>
  <c r="B14" i="40" s="1"/>
  <c r="B14" i="41" s="1"/>
  <c r="B15" i="24"/>
  <c r="B15" i="34" s="1"/>
  <c r="B15" i="35" s="1"/>
  <c r="B15" i="36" s="1"/>
  <c r="B15" i="37" s="1"/>
  <c r="B15" i="38" s="1"/>
  <c r="B15" i="39" s="1"/>
  <c r="B15" i="40" s="1"/>
  <c r="B15" i="41" s="1"/>
  <c r="B16" i="24"/>
  <c r="B16" i="34" s="1"/>
  <c r="B16" i="35" s="1"/>
  <c r="B16" i="36" s="1"/>
  <c r="B16" i="37" s="1"/>
  <c r="B16" i="38" s="1"/>
  <c r="B16" i="39" s="1"/>
  <c r="B16" i="40" s="1"/>
  <c r="B16" i="41" s="1"/>
  <c r="B17" i="24"/>
  <c r="B17" i="34" s="1"/>
  <c r="B17" i="35" s="1"/>
  <c r="B17" i="36" s="1"/>
  <c r="B17" i="37" s="1"/>
  <c r="B17" i="38" s="1"/>
  <c r="B17" i="39" s="1"/>
  <c r="B17" i="40" s="1"/>
  <c r="B17" i="41" s="1"/>
  <c r="B18" i="24"/>
  <c r="B18" i="34" s="1"/>
  <c r="B18" i="35" s="1"/>
  <c r="B18" i="36" s="1"/>
  <c r="B18" i="37" s="1"/>
  <c r="B18" i="38" s="1"/>
  <c r="B18" i="39" s="1"/>
  <c r="B18" i="40" s="1"/>
  <c r="B18" i="41" s="1"/>
  <c r="B19" i="24"/>
  <c r="B19" i="34" s="1"/>
  <c r="B19" i="35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39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24"/>
  <c r="B11" i="34" s="1"/>
  <c r="B11" i="35" s="1"/>
  <c r="B11" i="36" s="1"/>
  <c r="B11" i="37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7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7" i="40"/>
  <c r="BJ57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C31" i="35"/>
  <c r="BT28" i="35"/>
  <c r="BV28" i="35"/>
  <c r="CB28" i="35"/>
  <c r="CD28" i="35"/>
  <c r="BT28" i="36"/>
  <c r="BV28" i="36"/>
  <c r="BX28" i="36"/>
  <c r="BZ28" i="36"/>
  <c r="CB28" i="36"/>
  <c r="CD28" i="36"/>
  <c r="BC31" i="37"/>
  <c r="BG26" i="37"/>
  <c r="BI69" i="37" s="1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N8" i="37"/>
  <c r="C53" i="52" s="1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N8" i="46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C51" i="52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C49" i="52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N8" i="49"/>
  <c r="Z23" i="24"/>
  <c r="AJ57" i="24" s="1"/>
  <c r="D66" i="47"/>
  <c r="D63" i="45"/>
  <c r="N8" i="47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C58" i="52"/>
  <c r="N8" i="45"/>
  <c r="N8" i="38"/>
  <c r="C48" i="52"/>
  <c r="S70" i="48"/>
  <c r="S70" i="50" s="1"/>
  <c r="N8" i="40"/>
  <c r="N8" i="43"/>
  <c r="C52" i="52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G49" i="43"/>
  <c r="G3" i="45"/>
  <c r="G3" i="47"/>
  <c r="G49" i="48"/>
  <c r="G3" i="48"/>
  <c r="G49" i="49"/>
  <c r="N76" i="48"/>
  <c r="DE230" i="46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7" i="37"/>
  <c r="B35" i="52"/>
  <c r="H7" i="50"/>
  <c r="H7" i="49"/>
  <c r="H7" i="47"/>
  <c r="H7" i="40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N8" i="39"/>
  <c r="N8" i="50"/>
  <c r="N8" i="48"/>
  <c r="C50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N8" i="41"/>
  <c r="N8" i="44"/>
  <c r="O30" i="37"/>
  <c r="O30" i="39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A8" i="37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J75" i="46"/>
  <c r="E32" i="47"/>
  <c r="DD232" i="47" s="1"/>
  <c r="R30" i="47"/>
  <c r="E78" i="50"/>
  <c r="E32" i="37"/>
  <c r="DD232" i="37" s="1"/>
  <c r="E32" i="46"/>
  <c r="DD232" i="46" s="1"/>
  <c r="E32" i="49"/>
  <c r="DD232" i="49" s="1"/>
  <c r="E32" i="50"/>
  <c r="DD232" i="50" s="1"/>
  <c r="F30" i="37"/>
  <c r="F30" i="35"/>
  <c r="F30" i="47"/>
  <c r="F30" i="44"/>
  <c r="F30" i="41"/>
  <c r="F30" i="48"/>
  <c r="BK69" i="40"/>
  <c r="T31" i="40" s="1"/>
  <c r="H76" i="49"/>
  <c r="N76" i="49"/>
  <c r="H75" i="47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K73" i="49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P8" i="47"/>
  <c r="P8" i="40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P8" i="39"/>
  <c r="P8" i="41"/>
  <c r="Q30" i="38"/>
  <c r="Q29" i="38"/>
  <c r="P8" i="49"/>
  <c r="P8" i="48"/>
  <c r="P8" i="50"/>
  <c r="BI53" i="38"/>
  <c r="P8" i="45"/>
  <c r="P8" i="44"/>
  <c r="C59" i="52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H76" i="46"/>
  <c r="F30" i="50"/>
  <c r="F30" i="43"/>
  <c r="F30" i="40"/>
  <c r="F30" i="38"/>
  <c r="F30" i="46"/>
  <c r="F30" i="34"/>
  <c r="F30" i="39"/>
  <c r="F30" i="36"/>
  <c r="BW69" i="39"/>
  <c r="BW69" i="46"/>
  <c r="I62" i="46"/>
  <c r="I62" i="45"/>
  <c r="I62" i="50"/>
  <c r="I62" i="48"/>
  <c r="J76" i="45"/>
  <c r="J76" i="48"/>
  <c r="J76" i="50"/>
  <c r="J76" i="46"/>
  <c r="J76" i="47"/>
  <c r="J76" i="49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8"/>
  <c r="P31" i="38" s="1"/>
  <c r="Q31" i="38" s="1"/>
  <c r="Q31" i="39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BG26" i="24" s="1"/>
  <c r="BI69" i="24" s="1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BG26" i="35"/>
  <c r="BI69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O63" i="49"/>
  <c r="O63" i="47"/>
  <c r="O63" i="50"/>
  <c r="S74" i="50"/>
  <c r="S74" i="49"/>
  <c r="AA31" i="49" s="1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BK69" i="37" s="1"/>
  <c r="N31" i="37" s="1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C31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BK69" i="24" s="1"/>
  <c r="F31" i="24" s="1"/>
  <c r="DE231" i="24" s="1"/>
  <c r="V7" i="41"/>
  <c r="BW69" i="24"/>
  <c r="C30" i="36"/>
  <c r="DB230" i="36" s="1"/>
  <c r="C30" i="35"/>
  <c r="DB230" i="35" s="1"/>
  <c r="Z33" i="50"/>
  <c r="B24" i="52"/>
  <c r="B29" i="52"/>
  <c r="B25" i="52"/>
  <c r="BW69" i="40"/>
  <c r="BZ31" i="40" s="1"/>
  <c r="BI64" i="39" l="1"/>
  <c r="R8" i="39"/>
  <c r="DE229" i="37"/>
  <c r="O29" i="37"/>
  <c r="DE231" i="37"/>
  <c r="O31" i="37"/>
  <c r="BI54" i="34"/>
  <c r="H8" i="34"/>
  <c r="M67" i="50"/>
  <c r="M67" i="48"/>
  <c r="H8" i="50"/>
  <c r="H8" i="38"/>
  <c r="H8" i="40"/>
  <c r="H8" i="41"/>
  <c r="H8" i="43"/>
  <c r="C31" i="52"/>
  <c r="H8" i="44"/>
  <c r="C32" i="52"/>
  <c r="H8" i="39"/>
  <c r="C34" i="52"/>
  <c r="H8" i="48"/>
  <c r="V30" i="46"/>
  <c r="I59" i="44"/>
  <c r="BI51" i="34"/>
  <c r="H8" i="36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I57" i="35"/>
  <c r="BI59" i="38"/>
  <c r="BI53" i="35"/>
  <c r="K74" i="45"/>
  <c r="AA31" i="45" s="1"/>
  <c r="AK65" i="45" s="1"/>
  <c r="AL65" i="45" s="1"/>
  <c r="K74" i="47"/>
  <c r="BI55" i="35"/>
  <c r="BI53" i="49"/>
  <c r="M67" i="49"/>
  <c r="DF221" i="45"/>
  <c r="BI60" i="35"/>
  <c r="BI58" i="38"/>
  <c r="BI57" i="38"/>
  <c r="BI56" i="35"/>
  <c r="K74" i="50"/>
  <c r="V29" i="50"/>
  <c r="C30" i="52"/>
  <c r="O30" i="43"/>
  <c r="DE230" i="38"/>
  <c r="DF228" i="44"/>
  <c r="DE229" i="24"/>
  <c r="H8" i="37"/>
  <c r="H8" i="35"/>
  <c r="BI56" i="41"/>
  <c r="J29" i="43"/>
  <c r="BI53" i="24"/>
  <c r="BI50" i="49"/>
  <c r="BI55" i="40"/>
  <c r="J29" i="40"/>
  <c r="BI49" i="34"/>
  <c r="BI55" i="34"/>
  <c r="BI51" i="45"/>
  <c r="I71" i="47"/>
  <c r="R30" i="43"/>
  <c r="BJ11" i="24"/>
  <c r="BI59" i="37"/>
  <c r="BI60" i="24"/>
  <c r="BI54" i="37"/>
  <c r="J29" i="46"/>
  <c r="BI58" i="39"/>
  <c r="BI57" i="43"/>
  <c r="BI58" i="37"/>
  <c r="AK64" i="45"/>
  <c r="AL64" i="45" s="1"/>
  <c r="R30" i="40"/>
  <c r="BI51" i="48"/>
  <c r="DF225" i="43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R30" i="46"/>
  <c r="I71" i="49"/>
  <c r="DF218" i="43"/>
  <c r="I71" i="46"/>
  <c r="BI53" i="34"/>
  <c r="J29" i="39"/>
  <c r="J29" i="47"/>
  <c r="I64" i="48"/>
  <c r="R30" i="49"/>
  <c r="BI60" i="50"/>
  <c r="BI58" i="48"/>
  <c r="BG51" i="48"/>
  <c r="BI51" i="24"/>
  <c r="J29" i="38"/>
  <c r="J29" i="45"/>
  <c r="I64" i="44"/>
  <c r="AA21" i="44" s="1"/>
  <c r="BI56" i="50"/>
  <c r="BI58" i="50"/>
  <c r="BI53" i="40"/>
  <c r="R30" i="50"/>
  <c r="BI59" i="39"/>
  <c r="BI51" i="37"/>
  <c r="BI55" i="49"/>
  <c r="I71" i="44"/>
  <c r="BI53" i="43"/>
  <c r="J29" i="49"/>
  <c r="R30" i="48"/>
  <c r="I64" i="50"/>
  <c r="DF228" i="49"/>
  <c r="O29" i="48"/>
  <c r="DE229" i="35"/>
  <c r="J29" i="37"/>
  <c r="J29" i="50"/>
  <c r="I64" i="49"/>
  <c r="BI60" i="46"/>
  <c r="J29" i="48"/>
  <c r="J29" i="44"/>
  <c r="BI60" i="40"/>
  <c r="BI51" i="46"/>
  <c r="BI51" i="40"/>
  <c r="BI57" i="39"/>
  <c r="BI56" i="46"/>
  <c r="BI55" i="24"/>
  <c r="BI51" i="50"/>
  <c r="BI55" i="41"/>
  <c r="J29" i="41"/>
  <c r="R30" i="45"/>
  <c r="R30" i="44"/>
  <c r="R30" i="41"/>
  <c r="AC15" i="48"/>
  <c r="AK49" i="48"/>
  <c r="AL49" i="48" s="1"/>
  <c r="I59" i="48"/>
  <c r="I59" i="47"/>
  <c r="O29" i="50"/>
  <c r="O29" i="45"/>
  <c r="BI58" i="43"/>
  <c r="BI57" i="40"/>
  <c r="Q58" i="50"/>
  <c r="BJ13" i="24"/>
  <c r="BI55" i="50"/>
  <c r="BI55" i="38"/>
  <c r="I59" i="45"/>
  <c r="O29" i="41"/>
  <c r="DF212" i="47"/>
  <c r="O29" i="46"/>
  <c r="O29" i="44"/>
  <c r="O29" i="38"/>
  <c r="AA32" i="38" s="1"/>
  <c r="AK66" i="38" s="1"/>
  <c r="AL66" i="38" s="1"/>
  <c r="BI51" i="39"/>
  <c r="BI60" i="39"/>
  <c r="BI51" i="38"/>
  <c r="BI58" i="35"/>
  <c r="I59" i="49"/>
  <c r="I59" i="50"/>
  <c r="O29" i="39"/>
  <c r="O29" i="40"/>
  <c r="O29" i="47"/>
  <c r="BI51" i="35"/>
  <c r="BI58" i="40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S70" i="49"/>
  <c r="AA27" i="49" s="1"/>
  <c r="AK61" i="49" s="1"/>
  <c r="AL61" i="49" s="1"/>
  <c r="O75" i="50"/>
  <c r="F76" i="47"/>
  <c r="E33" i="51"/>
  <c r="L4" i="3"/>
  <c r="F76" i="49"/>
  <c r="I76" i="48"/>
  <c r="F76" i="50"/>
  <c r="I76" i="45"/>
  <c r="I76" i="49"/>
  <c r="I76" i="47"/>
  <c r="O75" i="48"/>
  <c r="V30" i="43"/>
  <c r="S72" i="50"/>
  <c r="F76" i="45"/>
  <c r="F76" i="44"/>
  <c r="V30" i="47"/>
  <c r="S72" i="49"/>
  <c r="I76" i="50"/>
  <c r="I76" i="46"/>
  <c r="F76" i="46"/>
  <c r="V30" i="49"/>
  <c r="F76" i="48"/>
  <c r="I76" i="44"/>
  <c r="AA33" i="44" s="1"/>
  <c r="AC33" i="44" s="1"/>
  <c r="L29" i="4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M75" i="46"/>
  <c r="AA32" i="46" s="1"/>
  <c r="AK66" i="46" s="1"/>
  <c r="AL66" i="46" s="1"/>
  <c r="DF229" i="45"/>
  <c r="I57" i="50"/>
  <c r="DF211" i="43"/>
  <c r="I67" i="47"/>
  <c r="DF221" i="43"/>
  <c r="S69" i="49"/>
  <c r="AA26" i="49" s="1"/>
  <c r="AK60" i="49" s="1"/>
  <c r="AL60" i="49" s="1"/>
  <c r="DF223" i="48"/>
  <c r="S61" i="49"/>
  <c r="AA18" i="49" s="1"/>
  <c r="DF215" i="48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P76" i="50"/>
  <c r="DE230" i="47"/>
  <c r="V30" i="45"/>
  <c r="DE230" i="41"/>
  <c r="O75" i="49"/>
  <c r="DF229" i="46"/>
  <c r="U60" i="50"/>
  <c r="AA17" i="50" s="1"/>
  <c r="DF214" i="49"/>
  <c r="S68" i="50"/>
  <c r="DF222" i="48"/>
  <c r="M62" i="49"/>
  <c r="DF216" i="45"/>
  <c r="I58" i="45"/>
  <c r="DF212" i="43"/>
  <c r="I60" i="50"/>
  <c r="DF214" i="43"/>
  <c r="I68" i="48"/>
  <c r="DF222" i="43"/>
  <c r="S64" i="49"/>
  <c r="AA21" i="49" s="1"/>
  <c r="DF218" i="48"/>
  <c r="S60" i="50"/>
  <c r="DF214" i="48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S73" i="50"/>
  <c r="DF227" i="48"/>
  <c r="M70" i="50"/>
  <c r="AC16" i="50"/>
  <c r="M74" i="47"/>
  <c r="DF228" i="45"/>
  <c r="Q29" i="41"/>
  <c r="DF229" i="38"/>
  <c r="I66" i="48"/>
  <c r="DF220" i="43"/>
  <c r="S58" i="49"/>
  <c r="AA15" i="49" s="1"/>
  <c r="AC15" i="49" s="1"/>
  <c r="DF212" i="48"/>
  <c r="S57" i="49"/>
  <c r="AA14" i="49" s="1"/>
  <c r="AC14" i="49" s="1"/>
  <c r="DF211" i="48"/>
  <c r="S62" i="50"/>
  <c r="DF216" i="48"/>
  <c r="O65" i="50"/>
  <c r="DF219" i="46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O31" i="38"/>
  <c r="DF231" i="37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T77" i="50"/>
  <c r="DE231" i="49"/>
  <c r="L75" i="49"/>
  <c r="M69" i="49"/>
  <c r="DF223" i="45"/>
  <c r="Q30" i="45"/>
  <c r="DF230" i="38"/>
  <c r="I63" i="49"/>
  <c r="DF217" i="43"/>
  <c r="Q31" i="49"/>
  <c r="DF231" i="38"/>
  <c r="S76" i="50"/>
  <c r="DF230" i="48"/>
  <c r="O73" i="47"/>
  <c r="DF227" i="46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K62" i="49"/>
  <c r="DF216" i="44"/>
  <c r="S71" i="50"/>
  <c r="DF225" i="48"/>
  <c r="I74" i="47"/>
  <c r="DF228" i="43"/>
  <c r="O30" i="48"/>
  <c r="DF230" i="37"/>
  <c r="C35" i="52"/>
  <c r="V30" i="44"/>
  <c r="AN40" i="34"/>
  <c r="AN41" i="34"/>
  <c r="AL42" i="34"/>
  <c r="AL43" i="34" s="1"/>
  <c r="AM41" i="34"/>
  <c r="K62" i="46"/>
  <c r="M70" i="47"/>
  <c r="L75" i="50"/>
  <c r="L75" i="46"/>
  <c r="I74" i="49"/>
  <c r="K62" i="47"/>
  <c r="K62" i="48"/>
  <c r="O30" i="40"/>
  <c r="O30" i="46"/>
  <c r="O30" i="38"/>
  <c r="AA33" i="38" s="1"/>
  <c r="AC33" i="38" s="1"/>
  <c r="L29" i="45"/>
  <c r="L29" i="44"/>
  <c r="K62" i="50"/>
  <c r="O30" i="41"/>
  <c r="O30" i="47"/>
  <c r="O30" i="50"/>
  <c r="I74" i="45"/>
  <c r="Q77" i="48"/>
  <c r="S71" i="49"/>
  <c r="O30" i="45"/>
  <c r="O30" i="49"/>
  <c r="I74" i="46"/>
  <c r="S73" i="49"/>
  <c r="L29" i="38"/>
  <c r="O30" i="44"/>
  <c r="BG53" i="50"/>
  <c r="P29" i="39"/>
  <c r="BI49" i="45"/>
  <c r="O31" i="41"/>
  <c r="I61" i="49"/>
  <c r="BI57" i="24"/>
  <c r="P29" i="44"/>
  <c r="O31" i="49"/>
  <c r="O31" i="47"/>
  <c r="H29" i="38"/>
  <c r="P29" i="47"/>
  <c r="BI61" i="41"/>
  <c r="O31" i="40"/>
  <c r="L76" i="50"/>
  <c r="BI57" i="46"/>
  <c r="BI58" i="24"/>
  <c r="O31" i="43"/>
  <c r="O31" i="45"/>
  <c r="O31" i="48"/>
  <c r="BI58" i="45"/>
  <c r="BI57" i="50"/>
  <c r="BI60" i="37"/>
  <c r="BI57" i="45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BI56" i="34"/>
  <c r="BI57" i="48"/>
  <c r="BI54" i="36"/>
  <c r="BI58" i="36"/>
  <c r="P29" i="45"/>
  <c r="I74" i="48"/>
  <c r="BI58" i="46"/>
  <c r="BI53" i="39"/>
  <c r="M70" i="49"/>
  <c r="O72" i="50"/>
  <c r="M70" i="48"/>
  <c r="O61" i="48"/>
  <c r="L29" i="43"/>
  <c r="L29" i="37"/>
  <c r="H29" i="48"/>
  <c r="H29" i="45"/>
  <c r="L29" i="47"/>
  <c r="H29" i="39"/>
  <c r="H29" i="43"/>
  <c r="BG66" i="37"/>
  <c r="BG65" i="50"/>
  <c r="BI65" i="50"/>
  <c r="P76" i="48"/>
  <c r="I61" i="46"/>
  <c r="L76" i="47"/>
  <c r="BG54" i="36"/>
  <c r="BI53" i="48"/>
  <c r="BI53" i="41"/>
  <c r="BI51" i="36"/>
  <c r="BI51" i="49"/>
  <c r="BI53" i="37"/>
  <c r="BI59" i="36"/>
  <c r="BI60" i="49"/>
  <c r="Q77" i="50"/>
  <c r="I61" i="50"/>
  <c r="I74" i="44"/>
  <c r="AA31" i="44" s="1"/>
  <c r="AC31" i="44" s="1"/>
  <c r="P29" i="40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BJ22" i="34"/>
  <c r="AE31" i="48"/>
  <c r="AF31" i="48" s="1"/>
  <c r="AG31" i="48" s="1"/>
  <c r="AJ65" i="48"/>
  <c r="E79" i="49"/>
  <c r="Q31" i="44"/>
  <c r="Q31" i="46"/>
  <c r="Q31" i="40"/>
  <c r="Q31" i="47"/>
  <c r="Q31" i="45"/>
  <c r="Q31" i="41"/>
  <c r="Q31" i="50"/>
  <c r="Q31" i="43"/>
  <c r="Q31" i="48"/>
  <c r="Q57" i="48"/>
  <c r="AA14" i="48" s="1"/>
  <c r="AK48" i="48" s="1"/>
  <c r="AL48" i="48" s="1"/>
  <c r="K76" i="48"/>
  <c r="K60" i="49"/>
  <c r="BZ31" i="44"/>
  <c r="I68" i="47"/>
  <c r="K58" i="45"/>
  <c r="AA15" i="45" s="1"/>
  <c r="AK49" i="45" s="1"/>
  <c r="AL49" i="45" s="1"/>
  <c r="I68" i="49"/>
  <c r="K69" i="50"/>
  <c r="I60" i="46"/>
  <c r="BJ10" i="45"/>
  <c r="I73" i="44"/>
  <c r="S61" i="50"/>
  <c r="M74" i="50"/>
  <c r="S76" i="49"/>
  <c r="AA33" i="49" s="1"/>
  <c r="AK67" i="49" s="1"/>
  <c r="AL67" i="49" s="1"/>
  <c r="O65" i="49"/>
  <c r="BJ10" i="50"/>
  <c r="K60" i="45"/>
  <c r="AA17" i="45" s="1"/>
  <c r="AK51" i="45" s="1"/>
  <c r="AL51" i="45" s="1"/>
  <c r="K58" i="49"/>
  <c r="K76" i="49"/>
  <c r="K69" i="45"/>
  <c r="AA26" i="45" s="1"/>
  <c r="Q65" i="50"/>
  <c r="M75" i="48"/>
  <c r="K60" i="50"/>
  <c r="Q57" i="50"/>
  <c r="BJ14" i="50"/>
  <c r="K76" i="47"/>
  <c r="K76" i="50"/>
  <c r="Q65" i="48"/>
  <c r="AA22" i="48" s="1"/>
  <c r="AK56" i="48" s="1"/>
  <c r="AL56" i="48" s="1"/>
  <c r="Q30" i="46"/>
  <c r="K76" i="46"/>
  <c r="I67" i="49"/>
  <c r="BJ11" i="50"/>
  <c r="I67" i="44"/>
  <c r="AA24" i="44" s="1"/>
  <c r="O65" i="48"/>
  <c r="K75" i="50"/>
  <c r="I67" i="50"/>
  <c r="T31" i="41"/>
  <c r="P31" i="47"/>
  <c r="T31" i="44"/>
  <c r="M62" i="46"/>
  <c r="AA19" i="46" s="1"/>
  <c r="AK53" i="46" s="1"/>
  <c r="AL53" i="46" s="1"/>
  <c r="I67" i="45"/>
  <c r="K71" i="48"/>
  <c r="I67" i="46"/>
  <c r="K63" i="50"/>
  <c r="Q63" i="49"/>
  <c r="T31" i="43"/>
  <c r="I67" i="48"/>
  <c r="Q71" i="50"/>
  <c r="Q61" i="48"/>
  <c r="AA18" i="48" s="1"/>
  <c r="K71" i="46"/>
  <c r="M75" i="47"/>
  <c r="O73" i="49"/>
  <c r="K71" i="50"/>
  <c r="K68" i="47"/>
  <c r="Q75" i="50"/>
  <c r="I66" i="49"/>
  <c r="S60" i="49"/>
  <c r="AA17" i="49" s="1"/>
  <c r="AK51" i="49" s="1"/>
  <c r="AL51" i="49" s="1"/>
  <c r="I57" i="46"/>
  <c r="K68" i="45"/>
  <c r="AA25" i="45" s="1"/>
  <c r="K57" i="50"/>
  <c r="T31" i="50"/>
  <c r="I66" i="45"/>
  <c r="Q71" i="49"/>
  <c r="K68" i="48"/>
  <c r="Q63" i="48"/>
  <c r="AA20" i="48" s="1"/>
  <c r="AK54" i="48" s="1"/>
  <c r="AL54" i="48" s="1"/>
  <c r="O65" i="47"/>
  <c r="AA22" i="47" s="1"/>
  <c r="AC22" i="47" s="1"/>
  <c r="Q61" i="50"/>
  <c r="I57" i="48"/>
  <c r="T31" i="49"/>
  <c r="T31" i="46"/>
  <c r="P31" i="41"/>
  <c r="I68" i="46"/>
  <c r="I73" i="50"/>
  <c r="I73" i="48"/>
  <c r="P31" i="46"/>
  <c r="K65" i="46"/>
  <c r="I68" i="45"/>
  <c r="I73" i="46"/>
  <c r="I73" i="49"/>
  <c r="M69" i="50"/>
  <c r="BK69" i="35"/>
  <c r="J31" i="35" s="1"/>
  <c r="P31" i="48"/>
  <c r="I68" i="44"/>
  <c r="AA25" i="44" s="1"/>
  <c r="AC25" i="44" s="1"/>
  <c r="I73" i="47"/>
  <c r="S58" i="50"/>
  <c r="I68" i="50"/>
  <c r="S62" i="49"/>
  <c r="AA19" i="49" s="1"/>
  <c r="AC19" i="49" s="1"/>
  <c r="S57" i="50"/>
  <c r="I60" i="48"/>
  <c r="K57" i="48"/>
  <c r="K75" i="48"/>
  <c r="Q76" i="50"/>
  <c r="K78" i="44"/>
  <c r="DF232" i="44" s="1"/>
  <c r="M62" i="50"/>
  <c r="Q72" i="48"/>
  <c r="I60" i="49"/>
  <c r="I58" i="49"/>
  <c r="I57" i="45"/>
  <c r="Q76" i="49"/>
  <c r="BX30" i="24"/>
  <c r="Q30" i="43"/>
  <c r="I63" i="45"/>
  <c r="Q72" i="50"/>
  <c r="Q75" i="49"/>
  <c r="I58" i="44"/>
  <c r="AA15" i="44" s="1"/>
  <c r="AK49" i="44" s="1"/>
  <c r="AL49" i="44" s="1"/>
  <c r="O66" i="48"/>
  <c r="O66" i="49"/>
  <c r="O66" i="47"/>
  <c r="O66" i="50"/>
  <c r="Q70" i="49"/>
  <c r="Q70" i="48"/>
  <c r="K72" i="47"/>
  <c r="K72" i="48"/>
  <c r="I63" i="50"/>
  <c r="K59" i="47"/>
  <c r="Q59" i="50"/>
  <c r="O60" i="49"/>
  <c r="O60" i="50"/>
  <c r="O60" i="48"/>
  <c r="O60" i="47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M69" i="47"/>
  <c r="I78" i="43"/>
  <c r="K72" i="45"/>
  <c r="U78" i="49"/>
  <c r="P31" i="40"/>
  <c r="P31" i="43"/>
  <c r="S69" i="50"/>
  <c r="Q30" i="41"/>
  <c r="M69" i="48"/>
  <c r="I63" i="47"/>
  <c r="K72" i="46"/>
  <c r="Q73" i="49"/>
  <c r="Q62" i="48"/>
  <c r="AA19" i="48" s="1"/>
  <c r="AK53" i="48" s="1"/>
  <c r="AL53" i="48" s="1"/>
  <c r="Q78" i="47"/>
  <c r="I63" i="46"/>
  <c r="K59" i="49"/>
  <c r="Q59" i="48"/>
  <c r="AA16" i="48" s="1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Q30" i="50"/>
  <c r="K65" i="48"/>
  <c r="Q73" i="48"/>
  <c r="BX30" i="34"/>
  <c r="P31" i="45"/>
  <c r="AK67" i="50"/>
  <c r="AL67" i="50" s="1"/>
  <c r="M69" i="46"/>
  <c r="AA26" i="46" s="1"/>
  <c r="AC26" i="46" s="1"/>
  <c r="I63" i="48"/>
  <c r="I63" i="44"/>
  <c r="AA20" i="44" s="1"/>
  <c r="K72" i="50"/>
  <c r="Q62" i="49"/>
  <c r="BI60" i="47"/>
  <c r="Q70" i="50"/>
  <c r="AC19" i="45"/>
  <c r="K59" i="46"/>
  <c r="O73" i="48"/>
  <c r="O73" i="50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30" i="49"/>
  <c r="Q30" i="48"/>
  <c r="Q30" i="40"/>
  <c r="Q30" i="44"/>
  <c r="Q30" i="47"/>
  <c r="Q30" i="39"/>
  <c r="AA33" i="39" s="1"/>
  <c r="I77" i="49"/>
  <c r="I77" i="47"/>
  <c r="I77" i="46"/>
  <c r="I77" i="45"/>
  <c r="I77" i="48"/>
  <c r="I77" i="44"/>
  <c r="I77" i="50"/>
  <c r="S77" i="50"/>
  <c r="S77" i="49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I72" i="45"/>
  <c r="I72" i="50"/>
  <c r="I72" i="47"/>
  <c r="I72" i="46"/>
  <c r="I72" i="49"/>
  <c r="I72" i="44"/>
  <c r="I72" i="48"/>
  <c r="I65" i="44"/>
  <c r="I65" i="45"/>
  <c r="S75" i="50"/>
  <c r="M74" i="49"/>
  <c r="BJ10" i="44"/>
  <c r="S78" i="48"/>
  <c r="S64" i="50"/>
  <c r="Q29" i="46"/>
  <c r="M74" i="46"/>
  <c r="AA31" i="46" s="1"/>
  <c r="AC31" i="46" s="1"/>
  <c r="I66" i="47"/>
  <c r="I65" i="47"/>
  <c r="I66" i="50"/>
  <c r="M62" i="47"/>
  <c r="M62" i="48"/>
  <c r="I58" i="46"/>
  <c r="I58" i="50"/>
  <c r="I58" i="47"/>
  <c r="I58" i="48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S65" i="49"/>
  <c r="S65" i="50"/>
  <c r="S66" i="49"/>
  <c r="S66" i="50"/>
  <c r="I70" i="44"/>
  <c r="AA27" i="44" s="1"/>
  <c r="I70" i="49"/>
  <c r="I70" i="50"/>
  <c r="I70" i="48"/>
  <c r="I70" i="45"/>
  <c r="I70" i="47"/>
  <c r="I70" i="46"/>
  <c r="Q29" i="45"/>
  <c r="Q29" i="50"/>
  <c r="I66" i="44"/>
  <c r="AA23" i="44" s="1"/>
  <c r="AK53" i="44"/>
  <c r="AL53" i="44" s="1"/>
  <c r="Q29" i="49"/>
  <c r="M74" i="48"/>
  <c r="I66" i="46"/>
  <c r="I65" i="50"/>
  <c r="I65" i="49"/>
  <c r="I65" i="48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I75" i="49"/>
  <c r="I75" i="45"/>
  <c r="I75" i="44"/>
  <c r="AA32" i="44" s="1"/>
  <c r="I75" i="47"/>
  <c r="I75" i="46"/>
  <c r="I75" i="48"/>
  <c r="I75" i="50"/>
  <c r="S59" i="50"/>
  <c r="S59" i="49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AJ52" i="46"/>
  <c r="AJ59" i="40"/>
  <c r="BI58" i="44"/>
  <c r="BJ16" i="24"/>
  <c r="AJ59" i="47"/>
  <c r="AJ52" i="40"/>
  <c r="BI53" i="46"/>
  <c r="BG53" i="46"/>
  <c r="AC31" i="45"/>
  <c r="BG47" i="34"/>
  <c r="BI47" i="34"/>
  <c r="AJ53" i="34"/>
  <c r="AJ48" i="39"/>
  <c r="AJ48" i="48"/>
  <c r="AJ48" i="41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AC21" i="44"/>
  <c r="AK55" i="44"/>
  <c r="AL55" i="44" s="1"/>
  <c r="AC32" i="38"/>
  <c r="N77" i="48"/>
  <c r="N77" i="49"/>
  <c r="N77" i="50"/>
  <c r="N77" i="47"/>
  <c r="BX30" i="47"/>
  <c r="BZ31" i="47"/>
  <c r="CE29" i="24"/>
  <c r="CE29" i="35"/>
  <c r="E33" i="35"/>
  <c r="AL42" i="46"/>
  <c r="AL43" i="46" s="1"/>
  <c r="AM41" i="46"/>
  <c r="H30" i="34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AC33" i="24" s="1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N31" i="47"/>
  <c r="N31" i="38"/>
  <c r="N31" i="41"/>
  <c r="N31" i="49"/>
  <c r="N31" i="39"/>
  <c r="N31" i="50"/>
  <c r="N31" i="40"/>
  <c r="N31" i="43"/>
  <c r="N31" i="46"/>
  <c r="N31" i="44"/>
  <c r="N31" i="45"/>
  <c r="N31" i="48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O71" i="49"/>
  <c r="O71" i="47"/>
  <c r="O71" i="48"/>
  <c r="O71" i="50"/>
  <c r="M58" i="47"/>
  <c r="M58" i="49"/>
  <c r="M58" i="48"/>
  <c r="M58" i="50"/>
  <c r="M58" i="46"/>
  <c r="AA15" i="46" s="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K26" i="35"/>
  <c r="DF226" i="35" s="1"/>
  <c r="K24" i="35"/>
  <c r="DF224" i="35" s="1"/>
  <c r="K27" i="35"/>
  <c r="DF227" i="35" s="1"/>
  <c r="K12" i="35"/>
  <c r="DF212" i="35" s="1"/>
  <c r="K18" i="35"/>
  <c r="DF218" i="35" s="1"/>
  <c r="K25" i="35"/>
  <c r="DF225" i="35" s="1"/>
  <c r="J8" i="50"/>
  <c r="J8" i="48"/>
  <c r="J8" i="43"/>
  <c r="J8" i="44"/>
  <c r="K16" i="35"/>
  <c r="DF216" i="35" s="1"/>
  <c r="K29" i="35"/>
  <c r="DF229" i="35" s="1"/>
  <c r="K13" i="35"/>
  <c r="DF213" i="35" s="1"/>
  <c r="K22" i="35"/>
  <c r="DF222" i="35" s="1"/>
  <c r="C37" i="52"/>
  <c r="J8" i="49"/>
  <c r="J8" i="41"/>
  <c r="J8" i="46"/>
  <c r="J8" i="45"/>
  <c r="J8" i="39"/>
  <c r="J8" i="37"/>
  <c r="K19" i="35"/>
  <c r="DF219" i="35" s="1"/>
  <c r="K31" i="35"/>
  <c r="DF231" i="35" s="1"/>
  <c r="K20" i="35"/>
  <c r="DF220" i="35" s="1"/>
  <c r="C40" i="52"/>
  <c r="C41" i="52"/>
  <c r="K30" i="35"/>
  <c r="DF230" i="35" s="1"/>
  <c r="K23" i="35"/>
  <c r="DF223" i="35" s="1"/>
  <c r="C38" i="52"/>
  <c r="J8" i="47"/>
  <c r="J8" i="38"/>
  <c r="K17" i="35"/>
  <c r="DF217" i="35" s="1"/>
  <c r="K15" i="35"/>
  <c r="DF215" i="35" s="1"/>
  <c r="C39" i="52"/>
  <c r="J8" i="36"/>
  <c r="K11" i="35"/>
  <c r="DF211" i="35" s="1"/>
  <c r="J8" i="40"/>
  <c r="K21" i="35"/>
  <c r="DF221" i="35" s="1"/>
  <c r="K14" i="35"/>
  <c r="DF214" i="35" s="1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O67" i="49"/>
  <c r="O67" i="47"/>
  <c r="AA24" i="47" s="1"/>
  <c r="O67" i="48"/>
  <c r="O67" i="50"/>
  <c r="M63" i="50"/>
  <c r="M63" i="47"/>
  <c r="M63" i="49"/>
  <c r="M63" i="46"/>
  <c r="M63" i="48"/>
  <c r="E70" i="52"/>
  <c r="E71" i="52" s="1"/>
  <c r="E69" i="52"/>
  <c r="BZ31" i="34"/>
  <c r="E118" i="52"/>
  <c r="E119" i="52" s="1"/>
  <c r="E117" i="52"/>
  <c r="E81" i="52"/>
  <c r="E82" i="52"/>
  <c r="E83" i="52" s="1"/>
  <c r="O58" i="47"/>
  <c r="O58" i="49"/>
  <c r="O58" i="48"/>
  <c r="O58" i="50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BX30" i="40"/>
  <c r="M76" i="46"/>
  <c r="AA33" i="46" s="1"/>
  <c r="M76" i="49"/>
  <c r="M76" i="50"/>
  <c r="M76" i="47"/>
  <c r="M76" i="48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AQ40" i="49"/>
  <c r="AP42" i="49" s="1"/>
  <c r="AP43" i="49" s="1"/>
  <c r="AO42" i="49"/>
  <c r="AO43" i="49" s="1"/>
  <c r="C62" i="52" l="1"/>
  <c r="R8" i="49"/>
  <c r="C64" i="52"/>
  <c r="S28" i="39"/>
  <c r="R8" i="48"/>
  <c r="R8" i="44"/>
  <c r="C61" i="52"/>
  <c r="R8" i="47"/>
  <c r="R8" i="40"/>
  <c r="C65" i="52"/>
  <c r="S30" i="39"/>
  <c r="C60" i="52"/>
  <c r="S29" i="39"/>
  <c r="R8" i="45"/>
  <c r="R8" i="46"/>
  <c r="C63" i="52"/>
  <c r="R8" i="50"/>
  <c r="R8" i="41"/>
  <c r="R8" i="43"/>
  <c r="DE228" i="38"/>
  <c r="Q28" i="38"/>
  <c r="DE228" i="37"/>
  <c r="O28" i="37"/>
  <c r="DF229" i="37"/>
  <c r="O29" i="49"/>
  <c r="O29" i="43"/>
  <c r="O31" i="46"/>
  <c r="O31" i="50"/>
  <c r="O31" i="39"/>
  <c r="O31" i="44"/>
  <c r="DE230" i="36"/>
  <c r="M30" i="36"/>
  <c r="DF230" i="36" s="1"/>
  <c r="DE230" i="34"/>
  <c r="I30" i="34"/>
  <c r="DE228" i="34"/>
  <c r="I28" i="34"/>
  <c r="H8" i="47"/>
  <c r="H8" i="46"/>
  <c r="I29" i="34"/>
  <c r="H8" i="49"/>
  <c r="H8" i="45"/>
  <c r="C33" i="52"/>
  <c r="AK66" i="49"/>
  <c r="AL66" i="49" s="1"/>
  <c r="AK58" i="46"/>
  <c r="AL58" i="46" s="1"/>
  <c r="AC18" i="44"/>
  <c r="AK57" i="50"/>
  <c r="AL57" i="50" s="1"/>
  <c r="AK53" i="50"/>
  <c r="AL53" i="50" s="1"/>
  <c r="AC15" i="50"/>
  <c r="BJ17" i="38"/>
  <c r="BJ13" i="50"/>
  <c r="AC26" i="50"/>
  <c r="BJ9" i="50"/>
  <c r="BJ16" i="49"/>
  <c r="BJ5" i="49"/>
  <c r="AC28" i="44"/>
  <c r="BJ9" i="44"/>
  <c r="AK55" i="46"/>
  <c r="AL55" i="46" s="1"/>
  <c r="BJ15" i="50"/>
  <c r="BJ6" i="49"/>
  <c r="AK49" i="49"/>
  <c r="AL49" i="49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BJ19" i="39"/>
  <c r="AA30" i="44"/>
  <c r="BO24" i="44" s="1"/>
  <c r="BJ21" i="44"/>
  <c r="AA29" i="47"/>
  <c r="BJ20" i="47"/>
  <c r="AA28" i="49"/>
  <c r="BO22" i="49" s="1"/>
  <c r="BJ19" i="49"/>
  <c r="BJ20" i="38"/>
  <c r="AA30" i="47"/>
  <c r="BO24" i="47" s="1"/>
  <c r="BJ21" i="47"/>
  <c r="AA29" i="50"/>
  <c r="BP23" i="50" s="1"/>
  <c r="BJ20" i="50"/>
  <c r="AA29" i="49"/>
  <c r="BO23" i="49" s="1"/>
  <c r="BJ20" i="49"/>
  <c r="BJ20" i="35"/>
  <c r="AA29" i="44"/>
  <c r="AE29" i="44" s="1"/>
  <c r="AF29" i="44" s="1"/>
  <c r="AG29" i="44" s="1"/>
  <c r="BJ20" i="44"/>
  <c r="AA29" i="45"/>
  <c r="BO23" i="45" s="1"/>
  <c r="BJ20" i="45"/>
  <c r="BJ20" i="39"/>
  <c r="BJ21" i="46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BJ19" i="40"/>
  <c r="BJ20" i="40"/>
  <c r="AA30" i="49"/>
  <c r="BO24" i="49" s="1"/>
  <c r="BJ21" i="49"/>
  <c r="AA28" i="50"/>
  <c r="BP22" i="50" s="1"/>
  <c r="BJ19" i="50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A21" i="50"/>
  <c r="AC21" i="50" s="1"/>
  <c r="AC18" i="47"/>
  <c r="AK58" i="50"/>
  <c r="AL58" i="50" s="1"/>
  <c r="AK67" i="38"/>
  <c r="AL67" i="38" s="1"/>
  <c r="AC25" i="49"/>
  <c r="AK65" i="44"/>
  <c r="AL65" i="44" s="1"/>
  <c r="AC26" i="49"/>
  <c r="AC22" i="48"/>
  <c r="AC32" i="48"/>
  <c r="BO20" i="49"/>
  <c r="AK67" i="48"/>
  <c r="AL67" i="48" s="1"/>
  <c r="AC32" i="50"/>
  <c r="AC27" i="50"/>
  <c r="AC17" i="45"/>
  <c r="I78" i="45"/>
  <c r="DF232" i="43"/>
  <c r="AK48" i="49"/>
  <c r="AL48" i="49" s="1"/>
  <c r="AC32" i="45"/>
  <c r="S79" i="48"/>
  <c r="S79" i="50" s="1"/>
  <c r="DF232" i="48"/>
  <c r="AA25" i="50"/>
  <c r="AK59" i="50" s="1"/>
  <c r="AL59" i="50" s="1"/>
  <c r="I78" i="50"/>
  <c r="U78" i="50"/>
  <c r="DF232" i="49"/>
  <c r="AK67" i="45"/>
  <c r="AL67" i="45" s="1"/>
  <c r="T74" i="50"/>
  <c r="DE228" i="49"/>
  <c r="AC14" i="48"/>
  <c r="Q78" i="48"/>
  <c r="DF232" i="47"/>
  <c r="J31" i="48"/>
  <c r="DE231" i="35"/>
  <c r="AK48" i="50"/>
  <c r="AL48" i="50" s="1"/>
  <c r="AK51" i="50"/>
  <c r="AL51" i="50" s="1"/>
  <c r="AC17" i="50"/>
  <c r="AM42" i="34"/>
  <c r="AM43" i="34" s="1"/>
  <c r="AO40" i="34"/>
  <c r="E33" i="45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AE22" i="47"/>
  <c r="AF22" i="47" s="1"/>
  <c r="AG22" i="47" s="1"/>
  <c r="BJ5" i="48"/>
  <c r="AK60" i="46"/>
  <c r="AL60" i="46" s="1"/>
  <c r="BJ8" i="44"/>
  <c r="AC22" i="24"/>
  <c r="AC23" i="24"/>
  <c r="AC17" i="49"/>
  <c r="AC20" i="48"/>
  <c r="U79" i="49"/>
  <c r="U79" i="50" s="1"/>
  <c r="AC19" i="46"/>
  <c r="BJ17" i="45"/>
  <c r="AE25" i="45"/>
  <c r="AF25" i="45" s="1"/>
  <c r="AG25" i="45" s="1"/>
  <c r="AC20" i="24"/>
  <c r="AC21" i="24"/>
  <c r="BJ17" i="35"/>
  <c r="K78" i="50"/>
  <c r="AK56" i="47"/>
  <c r="AL56" i="47" s="1"/>
  <c r="BO13" i="46"/>
  <c r="AC33" i="49"/>
  <c r="BJ6" i="45"/>
  <c r="BJ11" i="48"/>
  <c r="BJ9" i="48"/>
  <c r="AE19" i="46"/>
  <c r="AF19" i="46" s="1"/>
  <c r="AG19" i="46" s="1"/>
  <c r="BJ8" i="49"/>
  <c r="BJ10" i="46"/>
  <c r="AC15" i="45"/>
  <c r="AC15" i="44"/>
  <c r="AC18" i="24"/>
  <c r="AC19" i="24"/>
  <c r="BJ16" i="44"/>
  <c r="BJ13" i="47"/>
  <c r="BJ16" i="45"/>
  <c r="BJ13" i="48"/>
  <c r="BJ11" i="44"/>
  <c r="AE22" i="48"/>
  <c r="AF22" i="48" s="1"/>
  <c r="AG22" i="48" s="1"/>
  <c r="BO26" i="49"/>
  <c r="BO11" i="45"/>
  <c r="AC26" i="45"/>
  <c r="AK60" i="45"/>
  <c r="AL60" i="45" s="1"/>
  <c r="S78" i="49"/>
  <c r="BJ17" i="39"/>
  <c r="BO19" i="44"/>
  <c r="AC16" i="24"/>
  <c r="AC17" i="24"/>
  <c r="AE25" i="47"/>
  <c r="AF25" i="47" s="1"/>
  <c r="AG25" i="47" s="1"/>
  <c r="J31" i="46"/>
  <c r="AE17" i="44"/>
  <c r="AF17" i="44" s="1"/>
  <c r="AG17" i="44" s="1"/>
  <c r="AE15" i="46"/>
  <c r="AF15" i="46" s="1"/>
  <c r="AG15" i="46" s="1"/>
  <c r="J31" i="43"/>
  <c r="AE15" i="24"/>
  <c r="AC15" i="24"/>
  <c r="AK53" i="49"/>
  <c r="AL53" i="49" s="1"/>
  <c r="BJ6" i="44"/>
  <c r="AE14" i="46"/>
  <c r="AF14" i="46" s="1"/>
  <c r="AG14" i="46" s="1"/>
  <c r="J31" i="49"/>
  <c r="AK59" i="45"/>
  <c r="AL59" i="45" s="1"/>
  <c r="AC25" i="45"/>
  <c r="I78" i="48"/>
  <c r="AE17" i="46"/>
  <c r="AF17" i="46" s="1"/>
  <c r="AG17" i="46" s="1"/>
  <c r="I78" i="44"/>
  <c r="BO25" i="49"/>
  <c r="I79" i="43"/>
  <c r="U50" i="43" s="1"/>
  <c r="J31" i="36"/>
  <c r="Q78" i="50"/>
  <c r="BO15" i="49"/>
  <c r="BJ5" i="44"/>
  <c r="J31" i="39"/>
  <c r="BJ9" i="45"/>
  <c r="AE19" i="24"/>
  <c r="AF19" i="24" s="1"/>
  <c r="AG19" i="24" s="1"/>
  <c r="BJ7" i="48"/>
  <c r="K78" i="46"/>
  <c r="K78" i="48"/>
  <c r="K78" i="45"/>
  <c r="AE17" i="24"/>
  <c r="AF17" i="24" s="1"/>
  <c r="AG17" i="24" s="1"/>
  <c r="AE15" i="48"/>
  <c r="AF15" i="48" s="1"/>
  <c r="AG15" i="48" s="1"/>
  <c r="J31" i="38"/>
  <c r="J31" i="45"/>
  <c r="J31" i="47"/>
  <c r="J31" i="40"/>
  <c r="AE14" i="24"/>
  <c r="AE14" i="48"/>
  <c r="AF14" i="48" s="1"/>
  <c r="AG14" i="48" s="1"/>
  <c r="AE18" i="47"/>
  <c r="AF18" i="47" s="1"/>
  <c r="AG18" i="47" s="1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J31" i="41"/>
  <c r="J31" i="50"/>
  <c r="J31" i="37"/>
  <c r="J31" i="44"/>
  <c r="BJ10" i="49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7" i="49"/>
  <c r="AF17" i="49" s="1"/>
  <c r="AG17" i="49" s="1"/>
  <c r="AE14" i="50"/>
  <c r="AF14" i="50" s="1"/>
  <c r="AG14" i="50" s="1"/>
  <c r="BO18" i="44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44"/>
  <c r="AF24" i="44" s="1"/>
  <c r="AG24" i="44" s="1"/>
  <c r="AE26" i="45"/>
  <c r="AF26" i="45" s="1"/>
  <c r="AG26" i="45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26" i="39"/>
  <c r="AF26" i="39" s="1"/>
  <c r="AG26" i="39" s="1"/>
  <c r="AE21" i="49"/>
  <c r="AF21" i="49" s="1"/>
  <c r="AG21" i="49" s="1"/>
  <c r="BJ10" i="48"/>
  <c r="AE26" i="50"/>
  <c r="AF26" i="50" s="1"/>
  <c r="AG26" i="50" s="1"/>
  <c r="AE26" i="46"/>
  <c r="AF26" i="46" s="1"/>
  <c r="AG26" i="46" s="1"/>
  <c r="BJ15" i="45"/>
  <c r="AE18" i="50"/>
  <c r="AF18" i="50" s="1"/>
  <c r="AG18" i="50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AK43" i="50"/>
  <c r="Q78" i="49"/>
  <c r="BJ15" i="48"/>
  <c r="BJ17" i="44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K65" i="48"/>
  <c r="AL65" i="48" s="1"/>
  <c r="AC31" i="48"/>
  <c r="AE24" i="48"/>
  <c r="AF24" i="48" s="1"/>
  <c r="AG24" i="48" s="1"/>
  <c r="AC24" i="48"/>
  <c r="AK58" i="48"/>
  <c r="AL58" i="48" s="1"/>
  <c r="I78" i="49"/>
  <c r="BJ17" i="46"/>
  <c r="AA21" i="48"/>
  <c r="BO15" i="48" s="1"/>
  <c r="BJ12" i="48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58" i="45"/>
  <c r="AL58" i="45" s="1"/>
  <c r="AC24" i="45"/>
  <c r="AE24" i="45"/>
  <c r="AF24" i="45" s="1"/>
  <c r="AG24" i="45" s="1"/>
  <c r="AA23" i="47"/>
  <c r="BJ14" i="47"/>
  <c r="AE23" i="44"/>
  <c r="AF23" i="44" s="1"/>
  <c r="AG23" i="44" s="1"/>
  <c r="AK57" i="44"/>
  <c r="AL57" i="44" s="1"/>
  <c r="AC23" i="44"/>
  <c r="BO17" i="44"/>
  <c r="AA16" i="49"/>
  <c r="BO10" i="49" s="1"/>
  <c r="BJ7" i="49"/>
  <c r="BJ11" i="49"/>
  <c r="AA20" i="49"/>
  <c r="BO14" i="49" s="1"/>
  <c r="AA22" i="49"/>
  <c r="BO16" i="49" s="1"/>
  <c r="BJ13" i="49"/>
  <c r="AC32" i="39"/>
  <c r="AK66" i="39"/>
  <c r="AL66" i="39" s="1"/>
  <c r="AK54" i="44"/>
  <c r="AL54" i="44" s="1"/>
  <c r="AK58" i="44"/>
  <c r="AL58" i="44" s="1"/>
  <c r="BJ14" i="44"/>
  <c r="AC27" i="44"/>
  <c r="AK61" i="44"/>
  <c r="AL61" i="44" s="1"/>
  <c r="AA23" i="49"/>
  <c r="BO17" i="49" s="1"/>
  <c r="BJ14" i="49"/>
  <c r="AK60" i="44"/>
  <c r="AL60" i="44" s="1"/>
  <c r="AC26" i="44"/>
  <c r="AK67" i="39"/>
  <c r="AL67" i="39" s="1"/>
  <c r="AC33" i="39"/>
  <c r="AC24" i="49"/>
  <c r="AK58" i="49"/>
  <c r="AL58" i="49" s="1"/>
  <c r="BO14" i="44"/>
  <c r="AC20" i="44"/>
  <c r="AE24" i="49"/>
  <c r="AF24" i="49" s="1"/>
  <c r="AG24" i="49" s="1"/>
  <c r="AK66" i="44"/>
  <c r="AL66" i="44" s="1"/>
  <c r="AC32" i="44"/>
  <c r="AK48" i="44"/>
  <c r="AL48" i="44" s="1"/>
  <c r="AC14" i="44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AC21" i="49"/>
  <c r="AA21" i="47"/>
  <c r="AE21" i="47" s="1"/>
  <c r="AF21" i="47" s="1"/>
  <c r="AG21" i="47" s="1"/>
  <c r="BJ12" i="47"/>
  <c r="AA16" i="46"/>
  <c r="AE16" i="46" s="1"/>
  <c r="AF16" i="46" s="1"/>
  <c r="AG16" i="46" s="1"/>
  <c r="BJ7" i="46"/>
  <c r="BJ8" i="46"/>
  <c r="BJ17" i="37"/>
  <c r="BJ6" i="46"/>
  <c r="BJ16" i="47"/>
  <c r="AA15" i="47"/>
  <c r="AE15" i="47" s="1"/>
  <c r="AF15" i="47" s="1"/>
  <c r="AG15" i="47" s="1"/>
  <c r="BJ6" i="47"/>
  <c r="AK55" i="49"/>
  <c r="AL55" i="49" s="1"/>
  <c r="AK54" i="47"/>
  <c r="AL54" i="47" s="1"/>
  <c r="BJ10" i="47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G25" i="24"/>
  <c r="G26" i="24"/>
  <c r="F8" i="49"/>
  <c r="F8" i="46"/>
  <c r="F8" i="36"/>
  <c r="F8" i="41"/>
  <c r="C24" i="52"/>
  <c r="C27" i="52"/>
  <c r="G24" i="24"/>
  <c r="G29" i="24"/>
  <c r="F8" i="48"/>
  <c r="F8" i="43"/>
  <c r="F8" i="47"/>
  <c r="F8" i="35"/>
  <c r="C26" i="52"/>
  <c r="C29" i="52"/>
  <c r="G28" i="24"/>
  <c r="G31" i="24"/>
  <c r="DF231" i="24" s="1"/>
  <c r="G30" i="24"/>
  <c r="F8" i="44"/>
  <c r="F8" i="38"/>
  <c r="F8" i="45"/>
  <c r="F8" i="39"/>
  <c r="C28" i="52"/>
  <c r="G15" i="24"/>
  <c r="G27" i="24"/>
  <c r="G23" i="24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6" i="39"/>
  <c r="BO27" i="39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C71" i="52"/>
  <c r="C68" i="52"/>
  <c r="C70" i="52"/>
  <c r="T8" i="49"/>
  <c r="T8" i="43"/>
  <c r="T8" i="44"/>
  <c r="U29" i="40"/>
  <c r="DF229" i="40" s="1"/>
  <c r="C66" i="52"/>
  <c r="T8" i="50"/>
  <c r="T8" i="41"/>
  <c r="C67" i="52"/>
  <c r="U28" i="40"/>
  <c r="DF228" i="40" s="1"/>
  <c r="T8" i="46"/>
  <c r="T8" i="48"/>
  <c r="C69" i="52"/>
  <c r="U31" i="40"/>
  <c r="DF231" i="40" s="1"/>
  <c r="U30" i="40"/>
  <c r="DF230" i="40" s="1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BO26" i="38"/>
  <c r="BO27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K27" i="44"/>
  <c r="K27" i="49"/>
  <c r="K27" i="46"/>
  <c r="K27" i="48"/>
  <c r="K27" i="50"/>
  <c r="K27" i="36"/>
  <c r="K27" i="43"/>
  <c r="K27" i="45"/>
  <c r="K27" i="47"/>
  <c r="K27" i="40"/>
  <c r="K27" i="39"/>
  <c r="K27" i="38"/>
  <c r="K27" i="37"/>
  <c r="K27" i="41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BO18" i="47"/>
  <c r="AC24" i="47"/>
  <c r="AK58" i="47"/>
  <c r="AL58" i="47" s="1"/>
  <c r="K21" i="44"/>
  <c r="K21" i="47"/>
  <c r="K21" i="45"/>
  <c r="K21" i="39"/>
  <c r="K21" i="36"/>
  <c r="K21" i="49"/>
  <c r="K21" i="50"/>
  <c r="K21" i="38"/>
  <c r="K21" i="48"/>
  <c r="K21" i="40"/>
  <c r="K21" i="46"/>
  <c r="K21" i="43"/>
  <c r="K21" i="41"/>
  <c r="K21" i="37"/>
  <c r="K19" i="36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K22" i="46"/>
  <c r="K22" i="39"/>
  <c r="K22" i="48"/>
  <c r="K22" i="41"/>
  <c r="K22" i="37"/>
  <c r="K22" i="38"/>
  <c r="K22" i="36"/>
  <c r="K22" i="47"/>
  <c r="K22" i="44"/>
  <c r="K22" i="50"/>
  <c r="K22" i="43"/>
  <c r="K22" i="45"/>
  <c r="K22" i="40"/>
  <c r="K22" i="49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K24" i="50"/>
  <c r="K24" i="44"/>
  <c r="K24" i="45"/>
  <c r="K24" i="43"/>
  <c r="K24" i="49"/>
  <c r="K24" i="48"/>
  <c r="K24" i="47"/>
  <c r="K24" i="46"/>
  <c r="K24" i="41"/>
  <c r="K24" i="40"/>
  <c r="K24" i="39"/>
  <c r="K24" i="36"/>
  <c r="K24" i="38"/>
  <c r="K24" i="37"/>
  <c r="AK65" i="47"/>
  <c r="AL65" i="47" s="1"/>
  <c r="AC31" i="47"/>
  <c r="BO25" i="47"/>
  <c r="AC28" i="46"/>
  <c r="BO8" i="46"/>
  <c r="AK48" i="46"/>
  <c r="AL48" i="46" s="1"/>
  <c r="AC14" i="46"/>
  <c r="AC19" i="47"/>
  <c r="AK53" i="47"/>
  <c r="AL53" i="47" s="1"/>
  <c r="BO13" i="47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K26" i="48"/>
  <c r="K26" i="49"/>
  <c r="K26" i="47"/>
  <c r="K26" i="43"/>
  <c r="K26" i="45"/>
  <c r="K26" i="44"/>
  <c r="K26" i="50"/>
  <c r="K26" i="41"/>
  <c r="K26" i="46"/>
  <c r="K26" i="38"/>
  <c r="K26" i="37"/>
  <c r="K26" i="36"/>
  <c r="K26" i="40"/>
  <c r="K26" i="39"/>
  <c r="BO8" i="47"/>
  <c r="AK48" i="47"/>
  <c r="AL48" i="47" s="1"/>
  <c r="AC14" i="47"/>
  <c r="AC28" i="47"/>
  <c r="BO22" i="47"/>
  <c r="AQ41" i="49"/>
  <c r="BO27" i="46"/>
  <c r="AK67" i="46"/>
  <c r="AL67" i="46" s="1"/>
  <c r="AC33" i="46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K11" i="40"/>
  <c r="K11" i="38"/>
  <c r="K11" i="37"/>
  <c r="K32" i="35"/>
  <c r="DF232" i="35" s="1"/>
  <c r="K11" i="44"/>
  <c r="K11" i="41"/>
  <c r="K11" i="47"/>
  <c r="K11" i="48"/>
  <c r="K11" i="43"/>
  <c r="K11" i="36"/>
  <c r="BJ5" i="36" s="1"/>
  <c r="K11" i="50"/>
  <c r="K11" i="45"/>
  <c r="K11" i="39"/>
  <c r="K11" i="49"/>
  <c r="K11" i="46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K23" i="36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K20" i="45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O78" i="50"/>
  <c r="O78" i="49"/>
  <c r="O78" i="48"/>
  <c r="O79" i="46"/>
  <c r="O78" i="47"/>
  <c r="AC25" i="47"/>
  <c r="BO19" i="47"/>
  <c r="AK59" i="47"/>
  <c r="AL59" i="47" s="1"/>
  <c r="M78" i="50"/>
  <c r="M78" i="48"/>
  <c r="M78" i="46"/>
  <c r="M79" i="45"/>
  <c r="M78" i="47"/>
  <c r="M78" i="49"/>
  <c r="S29" i="49" l="1"/>
  <c r="DF229" i="39"/>
  <c r="S29" i="47"/>
  <c r="S29" i="50"/>
  <c r="S29" i="40"/>
  <c r="AA32" i="40" s="1"/>
  <c r="S29" i="43"/>
  <c r="S29" i="41"/>
  <c r="S29" i="45"/>
  <c r="S29" i="46"/>
  <c r="S29" i="48"/>
  <c r="S29" i="44"/>
  <c r="S30" i="50"/>
  <c r="DF230" i="39"/>
  <c r="S30" i="40"/>
  <c r="AA33" i="40" s="1"/>
  <c r="S30" i="45"/>
  <c r="S30" i="49"/>
  <c r="S30" i="47"/>
  <c r="S30" i="48"/>
  <c r="S30" i="46"/>
  <c r="S30" i="41"/>
  <c r="S30" i="43"/>
  <c r="S30" i="44"/>
  <c r="DF228" i="39"/>
  <c r="S28" i="49"/>
  <c r="S28" i="46"/>
  <c r="S28" i="45"/>
  <c r="S28" i="43"/>
  <c r="S28" i="40"/>
  <c r="AA31" i="40" s="1"/>
  <c r="S28" i="50"/>
  <c r="S28" i="44"/>
  <c r="S28" i="48"/>
  <c r="S28" i="41"/>
  <c r="S28" i="47"/>
  <c r="Q28" i="50"/>
  <c r="Q28" i="39"/>
  <c r="AA31" i="39" s="1"/>
  <c r="DF228" i="38"/>
  <c r="Q28" i="47"/>
  <c r="Q28" i="48"/>
  <c r="Q28" i="46"/>
  <c r="Q28" i="43"/>
  <c r="Q28" i="40"/>
  <c r="Q28" i="41"/>
  <c r="Q28" i="45"/>
  <c r="Q28" i="49"/>
  <c r="Q28" i="44"/>
  <c r="O28" i="48"/>
  <c r="O28" i="47"/>
  <c r="O28" i="44"/>
  <c r="O28" i="43"/>
  <c r="O28" i="39"/>
  <c r="O28" i="40"/>
  <c r="O28" i="46"/>
  <c r="DF228" i="37"/>
  <c r="O28" i="38"/>
  <c r="AA31" i="38" s="1"/>
  <c r="O28" i="41"/>
  <c r="O28" i="45"/>
  <c r="O28" i="49"/>
  <c r="O28" i="50"/>
  <c r="DF229" i="34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DF228" i="34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I30" i="45"/>
  <c r="DF230" i="34"/>
  <c r="I30" i="44"/>
  <c r="I30" i="43"/>
  <c r="I30" i="49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AF15" i="24"/>
  <c r="AG15" i="24" s="1"/>
  <c r="AK62" i="50"/>
  <c r="AL62" i="50" s="1"/>
  <c r="AK64" i="50"/>
  <c r="AL64" i="50" s="1"/>
  <c r="AK63" i="46"/>
  <c r="AL63" i="46" s="1"/>
  <c r="BO24" i="48"/>
  <c r="AC29" i="46"/>
  <c r="U4" i="48"/>
  <c r="BO23" i="46"/>
  <c r="U50" i="48"/>
  <c r="BO21" i="48"/>
  <c r="BO22" i="48"/>
  <c r="AC27" i="48"/>
  <c r="K79" i="47"/>
  <c r="AK62" i="47"/>
  <c r="AL62" i="47" s="1"/>
  <c r="BP15" i="5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AA28" i="36"/>
  <c r="AE28" i="36" s="1"/>
  <c r="AF28" i="36" s="1"/>
  <c r="AG28" i="36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E29" i="38"/>
  <c r="AF29" i="38" s="1"/>
  <c r="AG29" i="38" s="1"/>
  <c r="AE29" i="47"/>
  <c r="AF29" i="47" s="1"/>
  <c r="AG29" i="47" s="1"/>
  <c r="AC29" i="47"/>
  <c r="AK63" i="47"/>
  <c r="AL63" i="47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AA29" i="36"/>
  <c r="AE29" i="36" s="1"/>
  <c r="AF29" i="36" s="1"/>
  <c r="AG29" i="36" s="1"/>
  <c r="BJ20" i="36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AA30" i="36"/>
  <c r="AE30" i="36" s="1"/>
  <c r="AF30" i="36" s="1"/>
  <c r="AG30" i="36" s="1"/>
  <c r="BJ21" i="36"/>
  <c r="BJ19" i="37"/>
  <c r="BJ20" i="37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E28" i="38"/>
  <c r="AF28" i="38" s="1"/>
  <c r="AG28" i="38" s="1"/>
  <c r="AK64" i="48"/>
  <c r="AL64" i="48" s="1"/>
  <c r="AE30" i="48"/>
  <c r="AF30" i="48" s="1"/>
  <c r="AG30" i="48" s="1"/>
  <c r="AA27" i="36"/>
  <c r="AE27" i="36" s="1"/>
  <c r="AF27" i="36" s="1"/>
  <c r="AG27" i="36" s="1"/>
  <c r="BJ18" i="36"/>
  <c r="BJ18" i="37"/>
  <c r="U50" i="47"/>
  <c r="Q79" i="50"/>
  <c r="S79" i="49"/>
  <c r="U50" i="44"/>
  <c r="BP19" i="50"/>
  <c r="U4" i="43"/>
  <c r="A27" i="24"/>
  <c r="DA227" i="24" s="1"/>
  <c r="DF227" i="24"/>
  <c r="A28" i="24"/>
  <c r="DA228" i="24" s="1"/>
  <c r="DF228" i="24"/>
  <c r="A26" i="24"/>
  <c r="DA226" i="24" s="1"/>
  <c r="DF226" i="24"/>
  <c r="A24" i="24"/>
  <c r="DA224" i="24" s="1"/>
  <c r="DF224" i="24"/>
  <c r="A25" i="24"/>
  <c r="DA225" i="24" s="1"/>
  <c r="DF225" i="24"/>
  <c r="AC25" i="50"/>
  <c r="A23" i="24"/>
  <c r="DA223" i="24" s="1"/>
  <c r="DF223" i="24"/>
  <c r="A15" i="24"/>
  <c r="DA215" i="24" s="1"/>
  <c r="DF215" i="24"/>
  <c r="A30" i="24"/>
  <c r="DA230" i="24" s="1"/>
  <c r="DF230" i="24"/>
  <c r="A29" i="24"/>
  <c r="DA229" i="24" s="1"/>
  <c r="DF229" i="24"/>
  <c r="K79" i="4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I79" i="47"/>
  <c r="AF18" i="24"/>
  <c r="AG18" i="24" s="1"/>
  <c r="U50" i="50"/>
  <c r="AF16" i="24"/>
  <c r="AG16" i="24" s="1"/>
  <c r="AK50" i="46"/>
  <c r="AL50" i="46" s="1"/>
  <c r="I79" i="50"/>
  <c r="I79" i="49"/>
  <c r="I79" i="44"/>
  <c r="AK49" i="47"/>
  <c r="AL49" i="47" s="1"/>
  <c r="AF14" i="24"/>
  <c r="I79" i="46"/>
  <c r="I79" i="48"/>
  <c r="I79" i="45"/>
  <c r="BO10" i="47"/>
  <c r="BO15" i="47"/>
  <c r="BO10" i="46"/>
  <c r="AC21" i="47"/>
  <c r="AC16" i="46"/>
  <c r="AK55" i="47"/>
  <c r="AL55" i="47" s="1"/>
  <c r="BO17" i="46"/>
  <c r="AC16" i="47"/>
  <c r="AK57" i="46"/>
  <c r="AL57" i="46" s="1"/>
  <c r="AC23" i="46"/>
  <c r="BO9" i="47"/>
  <c r="AC15" i="47"/>
  <c r="AK55" i="48"/>
  <c r="AL55" i="48" s="1"/>
  <c r="AE21" i="48"/>
  <c r="AF21" i="48" s="1"/>
  <c r="AG21" i="48" s="1"/>
  <c r="AC21" i="48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BO19" i="46"/>
  <c r="AE25" i="48"/>
  <c r="AF25" i="48" s="1"/>
  <c r="AG25" i="48" s="1"/>
  <c r="AK59" i="48"/>
  <c r="AL59" i="48" s="1"/>
  <c r="AC25" i="48"/>
  <c r="BO17" i="47"/>
  <c r="AK51" i="47"/>
  <c r="AL51" i="47" s="1"/>
  <c r="AC17" i="47"/>
  <c r="AE17" i="47"/>
  <c r="AF17" i="47" s="1"/>
  <c r="AG17" i="47" s="1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C20" i="46"/>
  <c r="AC23" i="49"/>
  <c r="AK57" i="49"/>
  <c r="AL57" i="49" s="1"/>
  <c r="AE23" i="49"/>
  <c r="AF23" i="49" s="1"/>
  <c r="AG23" i="49" s="1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AA21" i="36"/>
  <c r="AE21" i="36" s="1"/>
  <c r="BJ12" i="36"/>
  <c r="AA24" i="36"/>
  <c r="AE24" i="36" s="1"/>
  <c r="AF24" i="36" s="1"/>
  <c r="AG24" i="36" s="1"/>
  <c r="BJ15" i="36"/>
  <c r="AA23" i="36"/>
  <c r="AE23" i="36" s="1"/>
  <c r="AF23" i="36" s="1"/>
  <c r="AG23" i="36" s="1"/>
  <c r="BJ14" i="36"/>
  <c r="AA20" i="36"/>
  <c r="AE20" i="36" s="1"/>
  <c r="AF20" i="36" s="1"/>
  <c r="AG20" i="36" s="1"/>
  <c r="BJ11" i="36"/>
  <c r="BO14" i="46"/>
  <c r="AK56" i="46"/>
  <c r="AL56" i="46" s="1"/>
  <c r="AK59" i="46"/>
  <c r="AL59" i="46" s="1"/>
  <c r="AA16" i="36"/>
  <c r="AE16" i="36" s="1"/>
  <c r="AF16" i="36" s="1"/>
  <c r="AG16" i="36" s="1"/>
  <c r="BJ7" i="36"/>
  <c r="AA19" i="36"/>
  <c r="AE19" i="36" s="1"/>
  <c r="AF19" i="36" s="1"/>
  <c r="AG19" i="36" s="1"/>
  <c r="BJ10" i="36"/>
  <c r="AG16" i="48"/>
  <c r="AK54" i="46"/>
  <c r="AL54" i="46" s="1"/>
  <c r="BO16" i="46"/>
  <c r="AC25" i="46"/>
  <c r="AA25" i="36"/>
  <c r="AE25" i="36" s="1"/>
  <c r="AF25" i="36" s="1"/>
  <c r="AG25" i="36" s="1"/>
  <c r="BJ16" i="36"/>
  <c r="AA22" i="36"/>
  <c r="AE22" i="36" s="1"/>
  <c r="AF22" i="36" s="1"/>
  <c r="AG22" i="36" s="1"/>
  <c r="BJ13" i="36"/>
  <c r="AA15" i="36"/>
  <c r="AE15" i="36" s="1"/>
  <c r="AF15" i="36" s="1"/>
  <c r="AG15" i="36" s="1"/>
  <c r="BJ6" i="36"/>
  <c r="AA26" i="36"/>
  <c r="AE26" i="36" s="1"/>
  <c r="AF26" i="36" s="1"/>
  <c r="AG26" i="36" s="1"/>
  <c r="BJ17" i="36"/>
  <c r="AA18" i="36"/>
  <c r="AE18" i="36" s="1"/>
  <c r="BJ9" i="36"/>
  <c r="AA17" i="36"/>
  <c r="AE17" i="36" s="1"/>
  <c r="AF17" i="36" s="1"/>
  <c r="AG17" i="36" s="1"/>
  <c r="BJ8" i="36"/>
  <c r="BO26" i="37"/>
  <c r="AK66" i="37"/>
  <c r="AL66" i="37" s="1"/>
  <c r="AC32" i="37"/>
  <c r="AC33" i="37"/>
  <c r="AK67" i="37"/>
  <c r="AL67" i="37" s="1"/>
  <c r="BO27" i="37"/>
  <c r="AP40" i="24"/>
  <c r="AN42" i="24"/>
  <c r="AN43" i="24" s="1"/>
  <c r="AO41" i="24"/>
  <c r="G27" i="47"/>
  <c r="G27" i="46"/>
  <c r="G27" i="39"/>
  <c r="G27" i="38"/>
  <c r="G27" i="41"/>
  <c r="G27" i="37"/>
  <c r="G27" i="45"/>
  <c r="G27" i="40"/>
  <c r="G27" i="36"/>
  <c r="G27" i="34"/>
  <c r="G27" i="44"/>
  <c r="G27" i="35"/>
  <c r="G27" i="49"/>
  <c r="G27" i="50"/>
  <c r="G27" i="48"/>
  <c r="G27" i="43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G26" i="47"/>
  <c r="G26" i="39"/>
  <c r="G26" i="41"/>
  <c r="G26" i="35"/>
  <c r="G26" i="34"/>
  <c r="G26" i="48"/>
  <c r="G26" i="38"/>
  <c r="G26" i="40"/>
  <c r="G26" i="43"/>
  <c r="G26" i="45"/>
  <c r="G26" i="49"/>
  <c r="G26" i="50"/>
  <c r="G26" i="46"/>
  <c r="G26" i="44"/>
  <c r="G26" i="37"/>
  <c r="G26" i="36"/>
  <c r="AO41" i="41"/>
  <c r="AN42" i="41"/>
  <c r="AN43" i="41" s="1"/>
  <c r="AP40" i="41"/>
  <c r="BI18" i="24"/>
  <c r="A15" i="34"/>
  <c r="DA215" i="34" s="1"/>
  <c r="U30" i="47"/>
  <c r="U30" i="48"/>
  <c r="U30" i="50"/>
  <c r="U30" i="46"/>
  <c r="U30" i="44"/>
  <c r="U30" i="49"/>
  <c r="U30" i="41"/>
  <c r="AA33" i="41" s="1"/>
  <c r="U30" i="45"/>
  <c r="U30" i="43"/>
  <c r="U28" i="43"/>
  <c r="U28" i="41"/>
  <c r="AA31" i="41" s="1"/>
  <c r="U28" i="48"/>
  <c r="U28" i="49"/>
  <c r="U28" i="46"/>
  <c r="U28" i="44"/>
  <c r="U28" i="45"/>
  <c r="U28" i="47"/>
  <c r="U28" i="50"/>
  <c r="G25" i="44"/>
  <c r="G25" i="45"/>
  <c r="G25" i="39"/>
  <c r="G25" i="48"/>
  <c r="G25" i="46"/>
  <c r="G25" i="37"/>
  <c r="G25" i="38"/>
  <c r="G25" i="47"/>
  <c r="G25" i="50"/>
  <c r="G25" i="41"/>
  <c r="G25" i="35"/>
  <c r="G25" i="34"/>
  <c r="G25" i="36"/>
  <c r="G25" i="49"/>
  <c r="G25" i="40"/>
  <c r="G25" i="43"/>
  <c r="BI17" i="24"/>
  <c r="U31" i="46"/>
  <c r="U31" i="43"/>
  <c r="U31" i="48"/>
  <c r="U31" i="45"/>
  <c r="U31" i="47"/>
  <c r="U31" i="44"/>
  <c r="U31" i="49"/>
  <c r="U31" i="41"/>
  <c r="U31" i="50"/>
  <c r="U29" i="46"/>
  <c r="U29" i="43"/>
  <c r="U29" i="49"/>
  <c r="U29" i="47"/>
  <c r="U29" i="50"/>
  <c r="U29" i="45"/>
  <c r="U29" i="41"/>
  <c r="AA32" i="41" s="1"/>
  <c r="U29" i="48"/>
  <c r="U29" i="44"/>
  <c r="BO25" i="37"/>
  <c r="AC31" i="37"/>
  <c r="AK65" i="37"/>
  <c r="AL65" i="37" s="1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BI20" i="24"/>
  <c r="G23" i="47"/>
  <c r="G23" i="39"/>
  <c r="G23" i="35"/>
  <c r="G23" i="44"/>
  <c r="G23" i="46"/>
  <c r="G23" i="40"/>
  <c r="G23" i="48"/>
  <c r="G23" i="50"/>
  <c r="G23" i="34"/>
  <c r="G23" i="41"/>
  <c r="G23" i="43"/>
  <c r="G23" i="45"/>
  <c r="G23" i="49"/>
  <c r="G23" i="38"/>
  <c r="G23" i="36"/>
  <c r="G23" i="37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G24" i="47"/>
  <c r="G24" i="48"/>
  <c r="G24" i="39"/>
  <c r="G24" i="36"/>
  <c r="G24" i="50"/>
  <c r="G24" i="40"/>
  <c r="G24" i="37"/>
  <c r="G24" i="41"/>
  <c r="G24" i="35"/>
  <c r="G24" i="49"/>
  <c r="G24" i="38"/>
  <c r="G24" i="34"/>
  <c r="G24" i="46"/>
  <c r="G24" i="45"/>
  <c r="G24" i="43"/>
  <c r="G24" i="44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BO23" i="36"/>
  <c r="AK63" i="36"/>
  <c r="AL63" i="36" s="1"/>
  <c r="AC29" i="36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AA14" i="36"/>
  <c r="AE14" i="36" s="1"/>
  <c r="AF14" i="36" s="1"/>
  <c r="K32" i="36"/>
  <c r="K33" i="36" s="1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C27" i="36"/>
  <c r="AK61" i="36"/>
  <c r="AL61" i="36" s="1"/>
  <c r="BO21" i="36"/>
  <c r="AK64" i="36"/>
  <c r="AL64" i="36" s="1"/>
  <c r="BO24" i="36"/>
  <c r="AC30" i="36"/>
  <c r="AK65" i="40" l="1"/>
  <c r="AL65" i="40" s="1"/>
  <c r="AC31" i="40"/>
  <c r="BO25" i="40"/>
  <c r="AC33" i="40"/>
  <c r="AK67" i="40"/>
  <c r="AL67" i="40" s="1"/>
  <c r="BO27" i="40"/>
  <c r="AK66" i="40"/>
  <c r="AL66" i="40" s="1"/>
  <c r="AC32" i="40"/>
  <c r="BO26" i="40"/>
  <c r="AK65" i="39"/>
  <c r="AL65" i="39" s="1"/>
  <c r="AC31" i="39"/>
  <c r="BO25" i="39"/>
  <c r="AK65" i="38"/>
  <c r="AL65" i="38" s="1"/>
  <c r="AC31" i="38"/>
  <c r="BO25" i="38"/>
  <c r="AK67" i="35"/>
  <c r="AL67" i="35" s="1"/>
  <c r="AC33" i="35"/>
  <c r="BO27" i="35"/>
  <c r="AK65" i="35"/>
  <c r="AL65" i="35" s="1"/>
  <c r="AC31" i="35"/>
  <c r="BO25" i="35"/>
  <c r="BO26" i="35"/>
  <c r="AC32" i="35"/>
  <c r="AK66" i="35"/>
  <c r="AL66" i="35" s="1"/>
  <c r="AM48" i="50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BO22" i="36"/>
  <c r="AK62" i="36"/>
  <c r="AL62" i="36" s="1"/>
  <c r="BI22" i="24"/>
  <c r="AC28" i="36"/>
  <c r="BN25" i="24"/>
  <c r="BN23" i="24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AA30" i="34"/>
  <c r="AE30" i="34" s="1"/>
  <c r="AF30" i="34" s="1"/>
  <c r="AG30" i="34" s="1"/>
  <c r="BJ21" i="34"/>
  <c r="BJ21" i="41"/>
  <c r="BJ20" i="41"/>
  <c r="AA29" i="34"/>
  <c r="AE29" i="34" s="1"/>
  <c r="AF29" i="34" s="1"/>
  <c r="AG29" i="34" s="1"/>
  <c r="BJ20" i="34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AA28" i="34"/>
  <c r="AE28" i="34" s="1"/>
  <c r="AF28" i="34" s="1"/>
  <c r="AG28" i="34" s="1"/>
  <c r="BJ19" i="34"/>
  <c r="AA27" i="43"/>
  <c r="AE27" i="43" s="1"/>
  <c r="AF27" i="43" s="1"/>
  <c r="AG27" i="43" s="1"/>
  <c r="BJ18" i="43"/>
  <c r="AA27" i="34"/>
  <c r="AE27" i="34" s="1"/>
  <c r="AF27" i="34" s="1"/>
  <c r="AG27" i="34" s="1"/>
  <c r="BJ18" i="34"/>
  <c r="BJ18" i="41"/>
  <c r="A28" i="34"/>
  <c r="DA228" i="34" s="1"/>
  <c r="A30" i="34"/>
  <c r="DA230" i="34" s="1"/>
  <c r="A29" i="34"/>
  <c r="DA229" i="34" s="1"/>
  <c r="BI24" i="24"/>
  <c r="BN26" i="24"/>
  <c r="BN27" i="24"/>
  <c r="BI23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BN24" i="24"/>
  <c r="BI19" i="24"/>
  <c r="BI21" i="24"/>
  <c r="BN21" i="24"/>
  <c r="BN22" i="24"/>
  <c r="BN12" i="24"/>
  <c r="BN20" i="24"/>
  <c r="BI9" i="24"/>
  <c r="AQ40" i="34"/>
  <c r="AO42" i="34"/>
  <c r="AO43" i="34" s="1"/>
  <c r="AP41" i="34"/>
  <c r="AK59" i="36"/>
  <c r="AL59" i="36" s="1"/>
  <c r="BO17" i="36"/>
  <c r="AK53" i="36"/>
  <c r="AL53" i="36" s="1"/>
  <c r="AK54" i="36"/>
  <c r="AL54" i="36" s="1"/>
  <c r="AC20" i="36"/>
  <c r="AC19" i="36"/>
  <c r="BO14" i="36"/>
  <c r="BO13" i="36"/>
  <c r="AK55" i="36"/>
  <c r="AL55" i="36" s="1"/>
  <c r="AG3" i="24"/>
  <c r="BC12" i="24" s="1"/>
  <c r="BC23" i="24" s="1"/>
  <c r="BO19" i="36"/>
  <c r="AC25" i="36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C23" i="36"/>
  <c r="AC24" i="36"/>
  <c r="AK57" i="36"/>
  <c r="AL57" i="36" s="1"/>
  <c r="AG3" i="46"/>
  <c r="BC12" i="46" s="1"/>
  <c r="BC24" i="46" s="1"/>
  <c r="AG2" i="46"/>
  <c r="AC43" i="46" s="1"/>
  <c r="AC22" i="36"/>
  <c r="BO16" i="36"/>
  <c r="AK56" i="36"/>
  <c r="AL56" i="36" s="1"/>
  <c r="BO10" i="36"/>
  <c r="AG3" i="44"/>
  <c r="BC12" i="44" s="1"/>
  <c r="BC29" i="44" s="1"/>
  <c r="AL47" i="45"/>
  <c r="AM56" i="45" s="1"/>
  <c r="AN56" i="45" s="1"/>
  <c r="AG2" i="48"/>
  <c r="AC43" i="48" s="1"/>
  <c r="AK49" i="36"/>
  <c r="AL49" i="36" s="1"/>
  <c r="AK52" i="36"/>
  <c r="AL52" i="36" s="1"/>
  <c r="AG3" i="48"/>
  <c r="BC12" i="48" s="1"/>
  <c r="AL47" i="48"/>
  <c r="AC17" i="36"/>
  <c r="AC26" i="36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BO9" i="36"/>
  <c r="AC16" i="36"/>
  <c r="AC21" i="36"/>
  <c r="AF21" i="36" s="1"/>
  <c r="AG21" i="36" s="1"/>
  <c r="AL47" i="46"/>
  <c r="AM59" i="46" s="1"/>
  <c r="AN59" i="46" s="1"/>
  <c r="AG16" i="49"/>
  <c r="AG3" i="49"/>
  <c r="BC12" i="49" s="1"/>
  <c r="AG2" i="49"/>
  <c r="AC43" i="49" s="1"/>
  <c r="AG2" i="44"/>
  <c r="AC43" i="44" s="1"/>
  <c r="BO12" i="36"/>
  <c r="AK50" i="36"/>
  <c r="AL50" i="36" s="1"/>
  <c r="AC15" i="36"/>
  <c r="BO15" i="36"/>
  <c r="AC18" i="36"/>
  <c r="AF18" i="36" s="1"/>
  <c r="AG18" i="36" s="1"/>
  <c r="AG14" i="36"/>
  <c r="AG3" i="36"/>
  <c r="BC12" i="36" s="1"/>
  <c r="AG2" i="36"/>
  <c r="AC43" i="36" s="1"/>
  <c r="BO20" i="36"/>
  <c r="AA18" i="34"/>
  <c r="AE18" i="34" s="1"/>
  <c r="BJ9" i="34"/>
  <c r="BJ17" i="41"/>
  <c r="AA18" i="43"/>
  <c r="AE18" i="43" s="1"/>
  <c r="AF18" i="43" s="1"/>
  <c r="AG18" i="43" s="1"/>
  <c r="BJ9" i="43"/>
  <c r="AK58" i="36"/>
  <c r="AL58" i="36" s="1"/>
  <c r="AK51" i="36"/>
  <c r="AL51" i="36" s="1"/>
  <c r="BO18" i="36"/>
  <c r="AA25" i="43"/>
  <c r="AE25" i="43" s="1"/>
  <c r="AF25" i="43" s="1"/>
  <c r="AG25" i="43" s="1"/>
  <c r="BJ16" i="43"/>
  <c r="BO11" i="36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AK60" i="36"/>
  <c r="AL60" i="36" s="1"/>
  <c r="AA26" i="34"/>
  <c r="AE26" i="34" s="1"/>
  <c r="AF26" i="34" s="1"/>
  <c r="AG26" i="34" s="1"/>
  <c r="BJ17" i="34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AK43" i="46"/>
  <c r="BO26" i="41"/>
  <c r="AC32" i="41"/>
  <c r="AK66" i="41"/>
  <c r="AL66" i="41" s="1"/>
  <c r="A30" i="35"/>
  <c r="DA230" i="35" s="1"/>
  <c r="BO27" i="41"/>
  <c r="AK67" i="41"/>
  <c r="AL67" i="41" s="1"/>
  <c r="AC33" i="41"/>
  <c r="AC30" i="34"/>
  <c r="BO24" i="34"/>
  <c r="AK64" i="34"/>
  <c r="AL64" i="34" s="1"/>
  <c r="AQ41" i="4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C29" i="34"/>
  <c r="AK65" i="34"/>
  <c r="AL65" i="34" s="1"/>
  <c r="BO25" i="34"/>
  <c r="AC31" i="34"/>
  <c r="AO42" i="24"/>
  <c r="AO43" i="24" s="1"/>
  <c r="AQ40" i="24"/>
  <c r="AP42" i="24" s="1"/>
  <c r="AP43" i="24" s="1"/>
  <c r="AQ41" i="24"/>
  <c r="A15" i="35"/>
  <c r="DA215" i="35" s="1"/>
  <c r="BN12" i="34"/>
  <c r="BI9" i="34"/>
  <c r="AC27" i="34"/>
  <c r="AK61" i="34"/>
  <c r="AL61" i="34" s="1"/>
  <c r="BO21" i="34"/>
  <c r="BO22" i="34"/>
  <c r="AK62" i="34"/>
  <c r="AL62" i="34" s="1"/>
  <c r="AC28" i="34"/>
  <c r="AK65" i="41"/>
  <c r="AL65" i="41" s="1"/>
  <c r="BO25" i="41"/>
  <c r="AC31" i="41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P41" i="36"/>
  <c r="AK43" i="44"/>
  <c r="AQ41" i="46"/>
  <c r="BO26" i="43"/>
  <c r="AC32" i="43"/>
  <c r="AK66" i="43"/>
  <c r="AL66" i="43" s="1"/>
  <c r="AQ40" i="37"/>
  <c r="AP42" i="37" s="1"/>
  <c r="AP43" i="37" s="1"/>
  <c r="AO42" i="37"/>
  <c r="AO43" i="37" s="1"/>
  <c r="BO8" i="36"/>
  <c r="AC14" i="36"/>
  <c r="AK48" i="36"/>
  <c r="AL48" i="36" s="1"/>
  <c r="BC23" i="50" l="1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AK62" i="43"/>
  <c r="AL62" i="43" s="1"/>
  <c r="AK63" i="34"/>
  <c r="AL63" i="34" s="1"/>
  <c r="AC27" i="43"/>
  <c r="AK43" i="43"/>
  <c r="A28" i="35"/>
  <c r="DA228" i="35" s="1"/>
  <c r="BN25" i="34"/>
  <c r="BO21" i="43"/>
  <c r="BO23" i="43"/>
  <c r="BO23" i="34"/>
  <c r="BN27" i="34"/>
  <c r="AC28" i="43"/>
  <c r="AK61" i="43"/>
  <c r="AL61" i="43" s="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BC29" i="24"/>
  <c r="BG18" i="24" s="1"/>
  <c r="BK62" i="24" s="1"/>
  <c r="F24" i="24" s="1"/>
  <c r="AN47" i="50"/>
  <c r="AO63" i="50" s="1"/>
  <c r="AP63" i="50" s="1"/>
  <c r="AN21" i="50"/>
  <c r="AR21" i="50" s="1"/>
  <c r="AR83" i="50" s="1"/>
  <c r="AK52" i="43"/>
  <c r="AL52" i="43" s="1"/>
  <c r="BO17" i="43"/>
  <c r="AQ41" i="34"/>
  <c r="AP42" i="34"/>
  <c r="AP43" i="34" s="1"/>
  <c r="AK43" i="34" s="1"/>
  <c r="BC29" i="47"/>
  <c r="BG18" i="47" s="1"/>
  <c r="BK62" i="47" s="1"/>
  <c r="P70" i="47" s="1"/>
  <c r="AC15" i="43"/>
  <c r="BC25" i="24"/>
  <c r="AC26" i="34"/>
  <c r="BC25" i="47"/>
  <c r="BC24" i="47"/>
  <c r="BC23" i="46"/>
  <c r="BC29" i="46"/>
  <c r="BO8" i="43"/>
  <c r="AC21" i="43"/>
  <c r="BC24" i="24"/>
  <c r="BO19" i="43"/>
  <c r="AM61" i="46"/>
  <c r="AN61" i="46" s="1"/>
  <c r="AM51" i="46"/>
  <c r="AN51" i="46" s="1"/>
  <c r="AM55" i="47"/>
  <c r="AN55" i="47" s="1"/>
  <c r="BO15" i="43"/>
  <c r="AC14" i="43"/>
  <c r="AN20" i="24"/>
  <c r="AQ6" i="24"/>
  <c r="AM54" i="47"/>
  <c r="AN54" i="47" s="1"/>
  <c r="BG20" i="24"/>
  <c r="BK64" i="24" s="1"/>
  <c r="F26" i="24" s="1"/>
  <c r="AM52" i="47"/>
  <c r="AN52" i="47" s="1"/>
  <c r="AC25" i="43"/>
  <c r="BG23" i="24"/>
  <c r="BK67" i="24" s="1"/>
  <c r="AC20" i="43"/>
  <c r="AK59" i="43"/>
  <c r="AL59" i="43" s="1"/>
  <c r="BG12" i="24"/>
  <c r="BK56" i="24" s="1"/>
  <c r="F18" i="24" s="1"/>
  <c r="G18" i="24" s="1"/>
  <c r="BG24" i="24"/>
  <c r="BK68" i="24" s="1"/>
  <c r="BO16" i="43"/>
  <c r="AM52" i="46"/>
  <c r="AN52" i="46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AM65" i="47"/>
  <c r="AN65" i="47" s="1"/>
  <c r="AL46" i="47"/>
  <c r="AL20" i="47" s="1"/>
  <c r="AN20" i="47" s="1"/>
  <c r="AM60" i="46"/>
  <c r="AN60" i="46" s="1"/>
  <c r="AC18" i="43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M64" i="46"/>
  <c r="AN64" i="46" s="1"/>
  <c r="AM59" i="47"/>
  <c r="AN59" i="47" s="1"/>
  <c r="AM67" i="46"/>
  <c r="AN67" i="46" s="1"/>
  <c r="BC25" i="46"/>
  <c r="AM62" i="45"/>
  <c r="AN62" i="45" s="1"/>
  <c r="AM60" i="45"/>
  <c r="AN60" i="45" s="1"/>
  <c r="AM53" i="45"/>
  <c r="AN53" i="45" s="1"/>
  <c r="AM53" i="49"/>
  <c r="AN53" i="49" s="1"/>
  <c r="AM51" i="45"/>
  <c r="AN51" i="45" s="1"/>
  <c r="AM49" i="49"/>
  <c r="AN49" i="49" s="1"/>
  <c r="AM61" i="45"/>
  <c r="AN61" i="45" s="1"/>
  <c r="AM56" i="49"/>
  <c r="AN56" i="49" s="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BO20" i="34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K60" i="34"/>
  <c r="AL60" i="34" s="1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AM56" i="46"/>
  <c r="AN56" i="46" s="1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AM50" i="46"/>
  <c r="AN50" i="46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BC25" i="48"/>
  <c r="BC29" i="48"/>
  <c r="BC24" i="48"/>
  <c r="BC23" i="48"/>
  <c r="BO14" i="43"/>
  <c r="AK43" i="41"/>
  <c r="AK52" i="34"/>
  <c r="AL52" i="34" s="1"/>
  <c r="BC25" i="49"/>
  <c r="BC24" i="49"/>
  <c r="BC23" i="49"/>
  <c r="BC29" i="49"/>
  <c r="AK51" i="43"/>
  <c r="AL51" i="43" s="1"/>
  <c r="AC18" i="34"/>
  <c r="AF18" i="34" s="1"/>
  <c r="AG18" i="34" s="1"/>
  <c r="BO12" i="34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17" i="43"/>
  <c r="AC24" i="43"/>
  <c r="AC23" i="43"/>
  <c r="AC16" i="43"/>
  <c r="AC26" i="43"/>
  <c r="AK53" i="43"/>
  <c r="AL53" i="43" s="1"/>
  <c r="AG14" i="43"/>
  <c r="AG3" i="43"/>
  <c r="BC12" i="43" s="1"/>
  <c r="AG2" i="43"/>
  <c r="AC43" i="43" s="1"/>
  <c r="BC29" i="36"/>
  <c r="BC23" i="36"/>
  <c r="BC24" i="36" s="1"/>
  <c r="BC25" i="36" s="1"/>
  <c r="BG26" i="36" s="1"/>
  <c r="BI69" i="36" s="1"/>
  <c r="BK69" i="36" s="1"/>
  <c r="L31" i="36" s="1"/>
  <c r="BO18" i="43"/>
  <c r="AK57" i="43"/>
  <c r="AL57" i="43" s="1"/>
  <c r="BO20" i="43"/>
  <c r="AK58" i="43"/>
  <c r="AL58" i="43" s="1"/>
  <c r="BO11" i="43"/>
  <c r="AK50" i="43"/>
  <c r="AL50" i="43" s="1"/>
  <c r="BO13" i="43"/>
  <c r="AK43" i="24"/>
  <c r="AK43" i="37"/>
  <c r="AQ41" i="36"/>
  <c r="AQ41" i="41"/>
  <c r="A15" i="36"/>
  <c r="DA215" i="36" s="1"/>
  <c r="BI9" i="35"/>
  <c r="BN12" i="35"/>
  <c r="A30" i="36"/>
  <c r="DA230" i="36" s="1"/>
  <c r="BN27" i="35"/>
  <c r="BI24" i="35"/>
  <c r="A28" i="36"/>
  <c r="DA228" i="36" s="1"/>
  <c r="BN26" i="35"/>
  <c r="A29" i="36"/>
  <c r="DA229" i="36" s="1"/>
  <c r="BI23" i="35"/>
  <c r="AL47" i="36"/>
  <c r="AM48" i="36" s="1"/>
  <c r="AN48" i="36" s="1"/>
  <c r="AO82" i="50"/>
  <c r="AQ41" i="37"/>
  <c r="L31" i="49" l="1"/>
  <c r="DE231" i="36"/>
  <c r="L31" i="43"/>
  <c r="L31" i="40"/>
  <c r="L31" i="37"/>
  <c r="L31" i="39"/>
  <c r="L31" i="46"/>
  <c r="M31" i="36"/>
  <c r="L31" i="38"/>
  <c r="L31" i="41"/>
  <c r="L31" i="47"/>
  <c r="L31" i="50"/>
  <c r="L31" i="45"/>
  <c r="L31" i="48"/>
  <c r="L31" i="44"/>
  <c r="A18" i="24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22" i="35"/>
  <c r="AO52" i="50"/>
  <c r="AP52" i="50" s="1"/>
  <c r="AO59" i="50"/>
  <c r="AP59" i="50" s="1"/>
  <c r="AO66" i="50"/>
  <c r="AP66" i="50" s="1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G20" i="24" s="1"/>
  <c r="BG11" i="24"/>
  <c r="BK55" i="24" s="1"/>
  <c r="F17" i="24" s="1"/>
  <c r="G17" i="24" s="1"/>
  <c r="BG16" i="24"/>
  <c r="BK60" i="24" s="1"/>
  <c r="F22" i="24" s="1"/>
  <c r="BG9" i="24"/>
  <c r="BK53" i="24" s="1"/>
  <c r="F15" i="24" s="1"/>
  <c r="F15" i="48" s="1"/>
  <c r="BG17" i="24"/>
  <c r="BK61" i="24" s="1"/>
  <c r="F23" i="24" s="1"/>
  <c r="BG5" i="24"/>
  <c r="BK49" i="24" s="1"/>
  <c r="F11" i="24" s="1"/>
  <c r="BG13" i="24"/>
  <c r="BK57" i="24" s="1"/>
  <c r="F19" i="24" s="1"/>
  <c r="F15" i="40"/>
  <c r="F15" i="41"/>
  <c r="BG8" i="47"/>
  <c r="BK52" i="47" s="1"/>
  <c r="P60" i="47" s="1"/>
  <c r="DE214" i="47" s="1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F15" i="47"/>
  <c r="F15" i="49"/>
  <c r="F15" i="37"/>
  <c r="F15" i="38"/>
  <c r="F23" i="39"/>
  <c r="BG16" i="47"/>
  <c r="BK60" i="47" s="1"/>
  <c r="P68" i="47" s="1"/>
  <c r="DE222" i="47" s="1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20" i="47"/>
  <c r="BK64" i="47" s="1"/>
  <c r="P72" i="47" s="1"/>
  <c r="P72" i="50" s="1"/>
  <c r="BG23" i="47"/>
  <c r="BK67" i="47" s="1"/>
  <c r="AP47" i="24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71" i="48"/>
  <c r="DE225" i="47"/>
  <c r="P71" i="49"/>
  <c r="P71" i="50"/>
  <c r="DE227" i="47"/>
  <c r="AO58" i="50"/>
  <c r="AP58" i="50" s="1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F23" i="49"/>
  <c r="F23" i="37"/>
  <c r="AO21" i="50"/>
  <c r="F23" i="48"/>
  <c r="F23" i="34"/>
  <c r="F23" i="43"/>
  <c r="F23" i="46"/>
  <c r="AQ21" i="50"/>
  <c r="AQ83" i="50" s="1"/>
  <c r="F23" i="38"/>
  <c r="F23" i="41"/>
  <c r="F23" i="50"/>
  <c r="F23" i="36"/>
  <c r="F23" i="40"/>
  <c r="F23" i="45"/>
  <c r="BG19" i="24"/>
  <c r="BK63" i="24" s="1"/>
  <c r="F25" i="24" s="1"/>
  <c r="BG15" i="24"/>
  <c r="BK59" i="24" s="1"/>
  <c r="F21" i="24" s="1"/>
  <c r="BG6" i="24"/>
  <c r="BK50" i="24" s="1"/>
  <c r="F12" i="24" s="1"/>
  <c r="BG22" i="24"/>
  <c r="BK66" i="24" s="1"/>
  <c r="BG21" i="24"/>
  <c r="BK65" i="24" s="1"/>
  <c r="F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F18" i="38"/>
  <c r="DE218" i="24"/>
  <c r="F22" i="38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F18" i="35"/>
  <c r="F19" i="43"/>
  <c r="F20" i="37"/>
  <c r="F18" i="47"/>
  <c r="F20" i="46"/>
  <c r="F13" i="35"/>
  <c r="F20" i="47"/>
  <c r="F18" i="41"/>
  <c r="F18" i="45"/>
  <c r="F18" i="44"/>
  <c r="F18" i="39"/>
  <c r="F19" i="49"/>
  <c r="F20" i="35"/>
  <c r="F20" i="48"/>
  <c r="F20" i="36"/>
  <c r="F18" i="43"/>
  <c r="F18" i="46"/>
  <c r="F20" i="34"/>
  <c r="F20" i="44"/>
  <c r="F13" i="46"/>
  <c r="F18" i="40"/>
  <c r="F18" i="49"/>
  <c r="F18" i="34"/>
  <c r="F18" i="37"/>
  <c r="F13" i="34"/>
  <c r="F19" i="47"/>
  <c r="F20" i="40"/>
  <c r="F20" i="38"/>
  <c r="F20" i="41"/>
  <c r="F20" i="49"/>
  <c r="F12" i="44"/>
  <c r="F18" i="48"/>
  <c r="F18" i="50"/>
  <c r="F18" i="36"/>
  <c r="F13" i="40"/>
  <c r="F20" i="43"/>
  <c r="F20" i="39"/>
  <c r="F20" i="45"/>
  <c r="F16" i="36"/>
  <c r="F16" i="34"/>
  <c r="F14" i="39"/>
  <c r="F16" i="35"/>
  <c r="F16" i="41"/>
  <c r="F16" i="45"/>
  <c r="F16" i="50"/>
  <c r="F16" i="43"/>
  <c r="F22" i="35"/>
  <c r="F16" i="38"/>
  <c r="F16" i="47"/>
  <c r="F16" i="49"/>
  <c r="F12" i="38"/>
  <c r="F12" i="39"/>
  <c r="F12" i="34"/>
  <c r="F12" i="41"/>
  <c r="F21" i="39"/>
  <c r="F12" i="40"/>
  <c r="F12" i="48"/>
  <c r="F12" i="45"/>
  <c r="F12" i="36"/>
  <c r="F21" i="35"/>
  <c r="F12" i="37"/>
  <c r="F12" i="47"/>
  <c r="F12" i="49"/>
  <c r="F22" i="49"/>
  <c r="AR20" i="24"/>
  <c r="AR82" i="24" s="1"/>
  <c r="AQ20" i="24"/>
  <c r="AQ82" i="24" s="1"/>
  <c r="AW27" i="24"/>
  <c r="AT27" i="24" s="1"/>
  <c r="AO20" i="24"/>
  <c r="AN21" i="24"/>
  <c r="F22" i="48"/>
  <c r="F22" i="50"/>
  <c r="AN47" i="47"/>
  <c r="AN46" i="47" s="1"/>
  <c r="AL21" i="49"/>
  <c r="AM21" i="49" s="1"/>
  <c r="AQ6" i="49" s="1"/>
  <c r="AN47" i="46"/>
  <c r="AO55" i="46" s="1"/>
  <c r="AP55" i="46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N47" i="48"/>
  <c r="AO55" i="48" s="1"/>
  <c r="AP55" i="48" s="1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BG10" i="36"/>
  <c r="BK54" i="36" s="1"/>
  <c r="L16" i="36" s="1"/>
  <c r="BG19" i="36"/>
  <c r="BK63" i="36" s="1"/>
  <c r="L25" i="36" s="1"/>
  <c r="M25" i="36" s="1"/>
  <c r="BG8" i="36"/>
  <c r="BK52" i="36" s="1"/>
  <c r="L14" i="36" s="1"/>
  <c r="BG23" i="36"/>
  <c r="BK67" i="36" s="1"/>
  <c r="BG15" i="36"/>
  <c r="BK59" i="36" s="1"/>
  <c r="L21" i="36" s="1"/>
  <c r="BG6" i="36"/>
  <c r="BK50" i="36" s="1"/>
  <c r="L12" i="36" s="1"/>
  <c r="BG22" i="36"/>
  <c r="BK66" i="36" s="1"/>
  <c r="BG12" i="36"/>
  <c r="BK56" i="36" s="1"/>
  <c r="L18" i="36" s="1"/>
  <c r="BG16" i="36"/>
  <c r="BK60" i="36" s="1"/>
  <c r="L22" i="36" s="1"/>
  <c r="BG21" i="36"/>
  <c r="BK65" i="36" s="1"/>
  <c r="L27" i="36" s="1"/>
  <c r="M27" i="36" s="1"/>
  <c r="BG13" i="36"/>
  <c r="BK57" i="36" s="1"/>
  <c r="L19" i="36" s="1"/>
  <c r="BG24" i="36"/>
  <c r="BK68" i="36" s="1"/>
  <c r="BG11" i="36"/>
  <c r="BK55" i="36" s="1"/>
  <c r="L17" i="36" s="1"/>
  <c r="BG5" i="36"/>
  <c r="BG20" i="36"/>
  <c r="BK64" i="36" s="1"/>
  <c r="L26" i="36" s="1"/>
  <c r="M26" i="36" s="1"/>
  <c r="BG14" i="36"/>
  <c r="BK58" i="36" s="1"/>
  <c r="L20" i="36" s="1"/>
  <c r="BG17" i="36"/>
  <c r="BK61" i="36" s="1"/>
  <c r="L23" i="36" s="1"/>
  <c r="BG18" i="36"/>
  <c r="BK62" i="36" s="1"/>
  <c r="L24" i="36" s="1"/>
  <c r="M24" i="36" s="1"/>
  <c r="BG9" i="36"/>
  <c r="BK53" i="36" s="1"/>
  <c r="L15" i="36" s="1"/>
  <c r="BG7" i="36"/>
  <c r="BK51" i="36" s="1"/>
  <c r="L13" i="36" s="1"/>
  <c r="P66" i="48"/>
  <c r="P66" i="49"/>
  <c r="P66" i="50"/>
  <c r="N60" i="47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A30" i="37"/>
  <c r="DA230" i="37" s="1"/>
  <c r="BI24" i="36"/>
  <c r="BN27" i="36"/>
  <c r="A29" i="37"/>
  <c r="DA229" i="37" s="1"/>
  <c r="BN26" i="36"/>
  <c r="BI23" i="36"/>
  <c r="BI9" i="36"/>
  <c r="A15" i="37"/>
  <c r="DA215" i="37" s="1"/>
  <c r="BN12" i="36"/>
  <c r="BI22" i="36"/>
  <c r="BN25" i="36"/>
  <c r="A28" i="37"/>
  <c r="DA228" i="37" s="1"/>
  <c r="AO20" i="47"/>
  <c r="AR20" i="47"/>
  <c r="AR82" i="47" s="1"/>
  <c r="AQ20" i="47"/>
  <c r="AQ82" i="47" s="1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AL46" i="36"/>
  <c r="AL20" i="36" s="1"/>
  <c r="AM51" i="36"/>
  <c r="AN51" i="36" s="1"/>
  <c r="AM50" i="36"/>
  <c r="AN50" i="36" s="1"/>
  <c r="AM62" i="36"/>
  <c r="AN62" i="36" s="1"/>
  <c r="AM64" i="36"/>
  <c r="AN64" i="36" s="1"/>
  <c r="AM65" i="36"/>
  <c r="AN65" i="36" s="1"/>
  <c r="AM49" i="36"/>
  <c r="AN49" i="36" s="1"/>
  <c r="AM63" i="36"/>
  <c r="AN63" i="36" s="1"/>
  <c r="AM53" i="36"/>
  <c r="AN53" i="36" s="1"/>
  <c r="AM67" i="36"/>
  <c r="AN67" i="36" s="1"/>
  <c r="AM59" i="36"/>
  <c r="AN59" i="36" s="1"/>
  <c r="AM57" i="36"/>
  <c r="AN57" i="36" s="1"/>
  <c r="AM54" i="36"/>
  <c r="AN54" i="36" s="1"/>
  <c r="AM58" i="36"/>
  <c r="AN58" i="36" s="1"/>
  <c r="AM61" i="36"/>
  <c r="AN61" i="36" s="1"/>
  <c r="AM60" i="36"/>
  <c r="AN60" i="36" s="1"/>
  <c r="AM66" i="36"/>
  <c r="AN66" i="36" s="1"/>
  <c r="AM56" i="36"/>
  <c r="AN56" i="36" s="1"/>
  <c r="AM52" i="36"/>
  <c r="AN52" i="36" s="1"/>
  <c r="AM55" i="36"/>
  <c r="AN55" i="36" s="1"/>
  <c r="DF231" i="36" l="1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DE213" i="36"/>
  <c r="M13" i="36"/>
  <c r="DE215" i="36"/>
  <c r="M15" i="36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DE223" i="36"/>
  <c r="M23" i="36"/>
  <c r="DE220" i="36"/>
  <c r="M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DE217" i="36"/>
  <c r="M17" i="36"/>
  <c r="DE219" i="36"/>
  <c r="M19" i="36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DE222" i="36"/>
  <c r="M22" i="36"/>
  <c r="DE218" i="36"/>
  <c r="M18" i="36"/>
  <c r="DE212" i="36"/>
  <c r="M12" i="36"/>
  <c r="DE221" i="36"/>
  <c r="M21" i="36"/>
  <c r="DE214" i="36"/>
  <c r="M14" i="36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DE216" i="36"/>
  <c r="M16" i="36"/>
  <c r="DE222" i="24"/>
  <c r="G22" i="24"/>
  <c r="A20" i="24"/>
  <c r="DF220" i="24"/>
  <c r="G20" i="47"/>
  <c r="G20" i="38"/>
  <c r="G20" i="43"/>
  <c r="G20" i="35"/>
  <c r="G20" i="34"/>
  <c r="G20" i="45"/>
  <c r="G20" i="48"/>
  <c r="G20" i="40"/>
  <c r="G20" i="46"/>
  <c r="G20" i="44"/>
  <c r="G20" i="50"/>
  <c r="G20" i="37"/>
  <c r="G20" i="39"/>
  <c r="G20" i="41"/>
  <c r="G20" i="49"/>
  <c r="G20" i="36"/>
  <c r="F19" i="39"/>
  <c r="G19" i="24"/>
  <c r="AA21" i="34"/>
  <c r="BJ12" i="34"/>
  <c r="DA218" i="24"/>
  <c r="BI12" i="24"/>
  <c r="BN15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F16" i="37"/>
  <c r="G16" i="24"/>
  <c r="F14" i="43"/>
  <c r="G14" i="24"/>
  <c r="F13" i="50"/>
  <c r="G13" i="24"/>
  <c r="F12" i="50"/>
  <c r="G12" i="24"/>
  <c r="DE211" i="24"/>
  <c r="G11" i="24"/>
  <c r="F21" i="36"/>
  <c r="G21" i="24"/>
  <c r="F16" i="46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63" i="50"/>
  <c r="N60" i="48"/>
  <c r="P61" i="50"/>
  <c r="P72" i="48"/>
  <c r="P65" i="49"/>
  <c r="N60" i="49"/>
  <c r="P67" i="50"/>
  <c r="DE226" i="47"/>
  <c r="P63" i="49"/>
  <c r="N66" i="47"/>
  <c r="N60" i="50"/>
  <c r="P61" i="48"/>
  <c r="P67" i="49"/>
  <c r="P73" i="49"/>
  <c r="P73" i="48"/>
  <c r="P62" i="48"/>
  <c r="N62" i="49"/>
  <c r="P62" i="50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F19" i="37"/>
  <c r="F19" i="50"/>
  <c r="F19" i="40"/>
  <c r="DE215" i="24"/>
  <c r="F15" i="50"/>
  <c r="F15" i="35"/>
  <c r="F15" i="45"/>
  <c r="F15" i="44"/>
  <c r="DE212" i="24"/>
  <c r="AO82" i="49"/>
  <c r="P59" i="49"/>
  <c r="P64" i="48"/>
  <c r="P69" i="49"/>
  <c r="F16" i="48"/>
  <c r="F12" i="35"/>
  <c r="N69" i="49"/>
  <c r="P59" i="48"/>
  <c r="P68" i="49"/>
  <c r="N68" i="49"/>
  <c r="F16" i="44"/>
  <c r="F16" i="39"/>
  <c r="F16" i="40"/>
  <c r="F12" i="43"/>
  <c r="F12" i="46"/>
  <c r="P64" i="50"/>
  <c r="N58" i="48"/>
  <c r="P69" i="48"/>
  <c r="N58" i="47"/>
  <c r="P65" i="48"/>
  <c r="P69" i="50"/>
  <c r="N67" i="49"/>
  <c r="BG25" i="47"/>
  <c r="BG27" i="47" s="1"/>
  <c r="BK70" i="47" s="1"/>
  <c r="P64" i="49"/>
  <c r="P65" i="50"/>
  <c r="F14" i="35"/>
  <c r="F14" i="46"/>
  <c r="F14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N71" i="49"/>
  <c r="N71" i="50"/>
  <c r="N71" i="48"/>
  <c r="DE225" i="46"/>
  <c r="N71" i="47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T71" i="50"/>
  <c r="DE225" i="49"/>
  <c r="L71" i="46"/>
  <c r="L71" i="50"/>
  <c r="L71" i="49"/>
  <c r="DE225" i="45"/>
  <c r="L71" i="47"/>
  <c r="L71" i="48"/>
  <c r="DE227" i="48"/>
  <c r="R73" i="49"/>
  <c r="R73" i="50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4" i="45"/>
  <c r="L70" i="50"/>
  <c r="L70" i="49"/>
  <c r="L70" i="48"/>
  <c r="L70" i="46"/>
  <c r="L70" i="47"/>
  <c r="T70" i="50"/>
  <c r="DE224" i="49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N68" i="50"/>
  <c r="F14" i="34"/>
  <c r="F14" i="37"/>
  <c r="F14" i="47"/>
  <c r="N61" i="50"/>
  <c r="F21" i="38"/>
  <c r="F21" i="48"/>
  <c r="F21" i="41"/>
  <c r="F13" i="36"/>
  <c r="F13" i="37"/>
  <c r="F13" i="39"/>
  <c r="F13" i="48"/>
  <c r="F13" i="49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N62" i="48"/>
  <c r="N63" i="49"/>
  <c r="N61" i="49"/>
  <c r="T58" i="50"/>
  <c r="DE212" i="49"/>
  <c r="T67" i="50"/>
  <c r="DE221" i="49"/>
  <c r="T65" i="50"/>
  <c r="DE219" i="49"/>
  <c r="N64" i="47"/>
  <c r="DE218" i="46"/>
  <c r="N61" i="48"/>
  <c r="T60" i="50"/>
  <c r="DE214" i="49"/>
  <c r="T62" i="50"/>
  <c r="DE216" i="49"/>
  <c r="T66" i="50"/>
  <c r="DE220" i="49"/>
  <c r="T64" i="50"/>
  <c r="DE218" i="49"/>
  <c r="N62" i="50"/>
  <c r="N63" i="50"/>
  <c r="N62" i="47"/>
  <c r="N63" i="47"/>
  <c r="N61" i="47"/>
  <c r="T69" i="50"/>
  <c r="DE223" i="49"/>
  <c r="T68" i="50"/>
  <c r="DE222" i="49"/>
  <c r="T59" i="50"/>
  <c r="DE213" i="49"/>
  <c r="N64" i="50"/>
  <c r="BG25" i="46"/>
  <c r="BG27" i="46" s="1"/>
  <c r="BK70" i="46" s="1"/>
  <c r="AM60" i="43"/>
  <c r="AN60" i="43" s="1"/>
  <c r="AM64" i="43"/>
  <c r="AN64" i="43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AU27" i="24"/>
  <c r="AV27" i="24" s="1"/>
  <c r="AO82" i="24"/>
  <c r="AT82" i="24" s="1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AM48" i="43"/>
  <c r="AN48" i="43" s="1"/>
  <c r="AO53" i="44"/>
  <c r="AP53" i="44" s="1"/>
  <c r="AM61" i="43"/>
  <c r="AN61" i="43" s="1"/>
  <c r="AO48" i="49"/>
  <c r="AP48" i="49" s="1"/>
  <c r="AO56" i="49"/>
  <c r="AP56" i="49" s="1"/>
  <c r="AO67" i="49"/>
  <c r="AP67" i="49" s="1"/>
  <c r="AO57" i="49"/>
  <c r="AP57" i="49" s="1"/>
  <c r="AN46" i="49"/>
  <c r="AO52" i="49"/>
  <c r="AP52" i="49" s="1"/>
  <c r="AO55" i="49"/>
  <c r="AP55" i="49" s="1"/>
  <c r="AO64" i="49"/>
  <c r="AP64" i="49" s="1"/>
  <c r="AO49" i="49"/>
  <c r="AP49" i="49" s="1"/>
  <c r="AO59" i="49"/>
  <c r="AP59" i="49" s="1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O66" i="46"/>
  <c r="AP66" i="46" s="1"/>
  <c r="AO51" i="46"/>
  <c r="AP51" i="46" s="1"/>
  <c r="AO54" i="46"/>
  <c r="AP54" i="46" s="1"/>
  <c r="AO53" i="46"/>
  <c r="AP53" i="46" s="1"/>
  <c r="AO48" i="46"/>
  <c r="AP48" i="46" s="1"/>
  <c r="AN46" i="46"/>
  <c r="AO52" i="46"/>
  <c r="AP52" i="46" s="1"/>
  <c r="AM63" i="43"/>
  <c r="AN63" i="43" s="1"/>
  <c r="AO60" i="46"/>
  <c r="AP60" i="46" s="1"/>
  <c r="AO57" i="46"/>
  <c r="AP57" i="46" s="1"/>
  <c r="AO64" i="46"/>
  <c r="AP64" i="46" s="1"/>
  <c r="AO63" i="46"/>
  <c r="AP63" i="46" s="1"/>
  <c r="AO65" i="46"/>
  <c r="AP65" i="46" s="1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7" i="44"/>
  <c r="AP57" i="44" s="1"/>
  <c r="AO64" i="44"/>
  <c r="AP64" i="44" s="1"/>
  <c r="AO49" i="44"/>
  <c r="AP49" i="44" s="1"/>
  <c r="AR20" i="44"/>
  <c r="AR82" i="44" s="1"/>
  <c r="AO20" i="44"/>
  <c r="AQ20" i="44"/>
  <c r="AQ82" i="44" s="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AO67" i="44"/>
  <c r="AP67" i="44" s="1"/>
  <c r="AO61" i="44"/>
  <c r="AP61" i="44" s="1"/>
  <c r="AO63" i="44"/>
  <c r="AP63" i="44" s="1"/>
  <c r="AO62" i="44"/>
  <c r="AP62" i="44" s="1"/>
  <c r="AO60" i="44"/>
  <c r="AP60" i="44" s="1"/>
  <c r="AO48" i="44"/>
  <c r="AP48" i="44" s="1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N57" i="47"/>
  <c r="N57" i="48"/>
  <c r="N57" i="49"/>
  <c r="N57" i="50"/>
  <c r="BK49" i="36"/>
  <c r="L11" i="36" s="1"/>
  <c r="BG25" i="36"/>
  <c r="BG27" i="36" s="1"/>
  <c r="BK70" i="36" s="1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A15" i="38"/>
  <c r="DA215" i="38" s="1"/>
  <c r="BN12" i="37"/>
  <c r="BI9" i="37"/>
  <c r="BN27" i="37"/>
  <c r="BI24" i="37"/>
  <c r="A30" i="38"/>
  <c r="DA230" i="38" s="1"/>
  <c r="A28" i="38"/>
  <c r="DA228" i="38" s="1"/>
  <c r="BN25" i="37"/>
  <c r="BI22" i="37"/>
  <c r="BN26" i="37"/>
  <c r="A29" i="38"/>
  <c r="DA229" i="38" s="1"/>
  <c r="BI23" i="37"/>
  <c r="AW27" i="47"/>
  <c r="AT27" i="47" s="1"/>
  <c r="AO82" i="47"/>
  <c r="AT82" i="47" s="1"/>
  <c r="AU27" i="47"/>
  <c r="AV27" i="47" s="1"/>
  <c r="AN20" i="36"/>
  <c r="AR21" i="47"/>
  <c r="AR83" i="47" s="1"/>
  <c r="AQ21" i="47"/>
  <c r="AQ83" i="47" s="1"/>
  <c r="AO21" i="47"/>
  <c r="AU27" i="46"/>
  <c r="AV27" i="46" s="1"/>
  <c r="AO82" i="46"/>
  <c r="AT82" i="46" s="1"/>
  <c r="AN47" i="36"/>
  <c r="AO57" i="36" s="1"/>
  <c r="AP57" i="36" s="1"/>
  <c r="AQ21" i="46"/>
  <c r="AQ83" i="46" s="1"/>
  <c r="AO21" i="46"/>
  <c r="AR21" i="46"/>
  <c r="AR83" i="46" s="1"/>
  <c r="DE211" i="36" l="1"/>
  <c r="M11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AE28" i="37"/>
  <c r="AF28" i="37" s="1"/>
  <c r="AG28" i="37" s="1"/>
  <c r="BO22" i="37"/>
  <c r="AK62" i="37"/>
  <c r="AL62" i="37" s="1"/>
  <c r="AC28" i="37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DF221" i="36"/>
  <c r="M21" i="37"/>
  <c r="M21" i="45"/>
  <c r="M21" i="50"/>
  <c r="M21" i="49"/>
  <c r="M21" i="48"/>
  <c r="M21" i="40"/>
  <c r="M21" i="41"/>
  <c r="M21" i="38"/>
  <c r="M21" i="47"/>
  <c r="M21" i="44"/>
  <c r="M21" i="43"/>
  <c r="M21" i="46"/>
  <c r="M21" i="39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DF222" i="36"/>
  <c r="M22" i="37"/>
  <c r="M22" i="49"/>
  <c r="M22" i="47"/>
  <c r="M22" i="46"/>
  <c r="M22" i="48"/>
  <c r="M22" i="41"/>
  <c r="M22" i="50"/>
  <c r="M22" i="43"/>
  <c r="M22" i="38"/>
  <c r="M22" i="39"/>
  <c r="M22" i="44"/>
  <c r="M22" i="40"/>
  <c r="M22" i="45"/>
  <c r="AE30" i="37"/>
  <c r="AF30" i="37" s="1"/>
  <c r="AG30" i="37" s="1"/>
  <c r="BO24" i="37"/>
  <c r="AC30" i="37"/>
  <c r="AK64" i="37"/>
  <c r="AL64" i="37" s="1"/>
  <c r="DF219" i="36"/>
  <c r="M19" i="37"/>
  <c r="M19" i="46"/>
  <c r="M19" i="43"/>
  <c r="M19" i="49"/>
  <c r="M19" i="48"/>
  <c r="M19" i="44"/>
  <c r="M19" i="47"/>
  <c r="M19" i="38"/>
  <c r="M19" i="41"/>
  <c r="M19" i="40"/>
  <c r="M19" i="39"/>
  <c r="M19" i="50"/>
  <c r="M19" i="45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AE29" i="37"/>
  <c r="AF29" i="37" s="1"/>
  <c r="AG29" i="37" s="1"/>
  <c r="AK63" i="37"/>
  <c r="AL63" i="37" s="1"/>
  <c r="BO23" i="37"/>
  <c r="AC29" i="37"/>
  <c r="DF220" i="36"/>
  <c r="M20" i="45"/>
  <c r="M20" i="41"/>
  <c r="M20" i="43"/>
  <c r="M20" i="39"/>
  <c r="M20" i="48"/>
  <c r="M20" i="47"/>
  <c r="M20" i="40"/>
  <c r="M20" i="37"/>
  <c r="M20" i="46"/>
  <c r="M20" i="49"/>
  <c r="M20" i="50"/>
  <c r="M20" i="44"/>
  <c r="M20" i="38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E27" i="37"/>
  <c r="AF27" i="37" s="1"/>
  <c r="AG27" i="37" s="1"/>
  <c r="AK61" i="37"/>
  <c r="AL61" i="37" s="1"/>
  <c r="AC27" i="37"/>
  <c r="BO21" i="37"/>
  <c r="DF215" i="36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DF213" i="36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A22" i="24"/>
  <c r="DF222" i="24"/>
  <c r="G22" i="41"/>
  <c r="G22" i="39"/>
  <c r="G22" i="40"/>
  <c r="G22" i="44"/>
  <c r="G22" i="48"/>
  <c r="G22" i="35"/>
  <c r="G22" i="46"/>
  <c r="G22" i="50"/>
  <c r="G22" i="37"/>
  <c r="G22" i="34"/>
  <c r="G22" i="49"/>
  <c r="G22" i="43"/>
  <c r="G22" i="47"/>
  <c r="G22" i="38"/>
  <c r="G22" i="45"/>
  <c r="G22" i="36"/>
  <c r="AA23" i="34"/>
  <c r="BJ14" i="34"/>
  <c r="DA220" i="24"/>
  <c r="BN17" i="24"/>
  <c r="BI14" i="24"/>
  <c r="A19" i="24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G19" i="43"/>
  <c r="G19" i="50"/>
  <c r="G19" i="39"/>
  <c r="G19" i="37"/>
  <c r="AE21" i="34"/>
  <c r="AF21" i="34" s="1"/>
  <c r="AG21" i="34" s="1"/>
  <c r="BO15" i="34"/>
  <c r="AC21" i="34"/>
  <c r="AK55" i="34"/>
  <c r="AL55" i="34" s="1"/>
  <c r="AA20" i="34"/>
  <c r="BJ11" i="34"/>
  <c r="DA217" i="24"/>
  <c r="BN14" i="24"/>
  <c r="BI11" i="24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A14" i="24"/>
  <c r="DF214" i="24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2" i="24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A11" i="24"/>
  <c r="DF211" i="24"/>
  <c r="G11" i="34"/>
  <c r="G11" i="44"/>
  <c r="G11" i="35"/>
  <c r="G11" i="50"/>
  <c r="G11" i="49"/>
  <c r="G11" i="36"/>
  <c r="G11" i="39"/>
  <c r="G11" i="45"/>
  <c r="G11" i="46"/>
  <c r="G11" i="41"/>
  <c r="G11" i="43"/>
  <c r="G11" i="40"/>
  <c r="G11" i="38"/>
  <c r="G11" i="48"/>
  <c r="G11" i="37"/>
  <c r="G11" i="47"/>
  <c r="A21" i="24"/>
  <c r="DF221" i="24"/>
  <c r="G21" i="36"/>
  <c r="G21" i="40"/>
  <c r="G21" i="49"/>
  <c r="G21" i="37"/>
  <c r="G21" i="48"/>
  <c r="G21" i="43"/>
  <c r="G21" i="44"/>
  <c r="G21" i="39"/>
  <c r="G21" i="45"/>
  <c r="G21" i="35"/>
  <c r="G21" i="46"/>
  <c r="G21" i="34"/>
  <c r="G21" i="41"/>
  <c r="G21" i="38"/>
  <c r="G21" i="47"/>
  <c r="G21" i="50"/>
  <c r="G32" i="24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H73" i="46"/>
  <c r="H73" i="44"/>
  <c r="H73" i="45"/>
  <c r="H73" i="47"/>
  <c r="H73" i="50"/>
  <c r="H73" i="49"/>
  <c r="DE227" i="43"/>
  <c r="H73" i="48"/>
  <c r="H72" i="50"/>
  <c r="H72" i="46"/>
  <c r="H72" i="49"/>
  <c r="DE226" i="43"/>
  <c r="H72" i="48"/>
  <c r="H72" i="44"/>
  <c r="H72" i="45"/>
  <c r="H72" i="47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Q21" i="49"/>
  <c r="AQ83" i="49" s="1"/>
  <c r="AO21" i="49"/>
  <c r="AR21" i="49"/>
  <c r="AR83" i="49" s="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W27" i="44"/>
  <c r="AT27" i="44" s="1"/>
  <c r="AR21" i="48"/>
  <c r="AR83" i="48" s="1"/>
  <c r="AO21" i="48"/>
  <c r="AQ21" i="48"/>
  <c r="AQ83" i="48" s="1"/>
  <c r="R57" i="49"/>
  <c r="R57" i="50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H63" i="48"/>
  <c r="H63" i="44"/>
  <c r="H63" i="45"/>
  <c r="H63" i="50"/>
  <c r="H63" i="46"/>
  <c r="H63" i="49"/>
  <c r="H63" i="47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AO67" i="36"/>
  <c r="AP67" i="36" s="1"/>
  <c r="AO51" i="36"/>
  <c r="AP51" i="36" s="1"/>
  <c r="AO56" i="36"/>
  <c r="AP56" i="36" s="1"/>
  <c r="AO58" i="36"/>
  <c r="AP58" i="36" s="1"/>
  <c r="AO65" i="36"/>
  <c r="AP65" i="36" s="1"/>
  <c r="AO54" i="36"/>
  <c r="AP54" i="36" s="1"/>
  <c r="AO59" i="36"/>
  <c r="AP59" i="36" s="1"/>
  <c r="AW27" i="43"/>
  <c r="AT27" i="43" s="1"/>
  <c r="AO52" i="36"/>
  <c r="AP52" i="36" s="1"/>
  <c r="BN27" i="38"/>
  <c r="BI24" i="38"/>
  <c r="A30" i="39"/>
  <c r="DA230" i="39" s="1"/>
  <c r="BI9" i="38"/>
  <c r="A15" i="39"/>
  <c r="DA215" i="39" s="1"/>
  <c r="BN12" i="38"/>
  <c r="AO50" i="36"/>
  <c r="AP50" i="36" s="1"/>
  <c r="AO53" i="36"/>
  <c r="AP53" i="36" s="1"/>
  <c r="BN26" i="38"/>
  <c r="A29" i="39"/>
  <c r="DA229" i="39" s="1"/>
  <c r="BI23" i="38"/>
  <c r="BN25" i="38"/>
  <c r="A28" i="39"/>
  <c r="DA228" i="39" s="1"/>
  <c r="BI22" i="38"/>
  <c r="AQ20" i="36"/>
  <c r="AQ82" i="36" s="1"/>
  <c r="AN46" i="36"/>
  <c r="AL21" i="36" s="1"/>
  <c r="AO20" i="36" s="1"/>
  <c r="AO48" i="36"/>
  <c r="AP48" i="36" s="1"/>
  <c r="AU28" i="47"/>
  <c r="AV28" i="47" s="1"/>
  <c r="AO83" i="47"/>
  <c r="AT83" i="47" s="1"/>
  <c r="AN21" i="36"/>
  <c r="AM21" i="36"/>
  <c r="AO49" i="36"/>
  <c r="AP49" i="36" s="1"/>
  <c r="AO64" i="36"/>
  <c r="AP64" i="36" s="1"/>
  <c r="AO60" i="36"/>
  <c r="AP60" i="36" s="1"/>
  <c r="AO62" i="36"/>
  <c r="AP62" i="36" s="1"/>
  <c r="AO55" i="36"/>
  <c r="AP55" i="36" s="1"/>
  <c r="AU28" i="46"/>
  <c r="AV28" i="46" s="1"/>
  <c r="AO83" i="46"/>
  <c r="AT83" i="46" s="1"/>
  <c r="AO61" i="36"/>
  <c r="AP61" i="36" s="1"/>
  <c r="AO66" i="36"/>
  <c r="AP66" i="36" s="1"/>
  <c r="AO63" i="36"/>
  <c r="AP63" i="36" s="1"/>
  <c r="AA16" i="37" l="1"/>
  <c r="BJ7" i="37"/>
  <c r="AA18" i="37"/>
  <c r="BJ9" i="37"/>
  <c r="AK60" i="37"/>
  <c r="AL60" i="37" s="1"/>
  <c r="BO20" i="37"/>
  <c r="AC26" i="37"/>
  <c r="AA23" i="37"/>
  <c r="BJ14" i="37"/>
  <c r="AA20" i="37"/>
  <c r="BJ11" i="37"/>
  <c r="AA22" i="37"/>
  <c r="BJ13" i="37"/>
  <c r="AA25" i="37"/>
  <c r="BJ16" i="37"/>
  <c r="AA21" i="37"/>
  <c r="BJ12" i="37"/>
  <c r="AA15" i="37"/>
  <c r="BJ6" i="37"/>
  <c r="AA24" i="37"/>
  <c r="BJ15" i="37"/>
  <c r="AA17" i="37"/>
  <c r="BJ8" i="37"/>
  <c r="AA19" i="37"/>
  <c r="BJ10" i="37"/>
  <c r="DF211" i="36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AQ6" i="36"/>
  <c r="AR20" i="36"/>
  <c r="AR82" i="36" s="1"/>
  <c r="AA25" i="34"/>
  <c r="BJ16" i="34"/>
  <c r="DA222" i="24"/>
  <c r="BN19" i="24"/>
  <c r="BI16" i="24"/>
  <c r="AE23" i="34"/>
  <c r="AF23" i="34" s="1"/>
  <c r="AG23" i="34" s="1"/>
  <c r="AC23" i="34"/>
  <c r="BO17" i="34"/>
  <c r="AK57" i="34"/>
  <c r="AL57" i="34" s="1"/>
  <c r="AA22" i="34"/>
  <c r="BJ13" i="34"/>
  <c r="DA219" i="24"/>
  <c r="BN16" i="24"/>
  <c r="BI13" i="24"/>
  <c r="AE20" i="34"/>
  <c r="AF20" i="34" s="1"/>
  <c r="AG20" i="34" s="1"/>
  <c r="BO14" i="34"/>
  <c r="AK54" i="34"/>
  <c r="AL54" i="34" s="1"/>
  <c r="AC20" i="34"/>
  <c r="AA19" i="34"/>
  <c r="BJ10" i="34"/>
  <c r="DA216" i="24"/>
  <c r="BN13" i="24"/>
  <c r="BI10" i="24"/>
  <c r="AA17" i="34"/>
  <c r="BJ8" i="34"/>
  <c r="DA214" i="24"/>
  <c r="BN11" i="24"/>
  <c r="BI8" i="24"/>
  <c r="AA16" i="34"/>
  <c r="BJ7" i="34"/>
  <c r="DA213" i="24"/>
  <c r="BI7" i="24"/>
  <c r="BN10" i="24"/>
  <c r="AA15" i="34"/>
  <c r="BJ6" i="34"/>
  <c r="DA212" i="24"/>
  <c r="BI6" i="24"/>
  <c r="BN9" i="24"/>
  <c r="AA14" i="34"/>
  <c r="BJ5" i="34"/>
  <c r="DA211" i="24"/>
  <c r="BI5" i="24"/>
  <c r="BN8" i="2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24" i="34"/>
  <c r="BJ15" i="34"/>
  <c r="DA221" i="24"/>
  <c r="BN18" i="24"/>
  <c r="A21" i="34"/>
  <c r="BI15" i="24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22" i="50"/>
  <c r="AR84" i="50" s="1"/>
  <c r="AO22" i="50"/>
  <c r="AQ22" i="50"/>
  <c r="AQ84" i="50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Q22" i="47"/>
  <c r="AQ84" i="47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Q49" i="48"/>
  <c r="AR49" i="48" s="1"/>
  <c r="AO83" i="49"/>
  <c r="AT83" i="49" s="1"/>
  <c r="AU28" i="49"/>
  <c r="AV28" i="49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Q64" i="48"/>
  <c r="AR64" i="48" s="1"/>
  <c r="AQ50" i="48"/>
  <c r="AR50" i="48" s="1"/>
  <c r="AQ60" i="48"/>
  <c r="AR60" i="48" s="1"/>
  <c r="AQ67" i="48"/>
  <c r="AR67" i="48" s="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44"/>
  <c r="AR48" i="44" s="1"/>
  <c r="AQ66" i="44"/>
  <c r="AR66" i="44" s="1"/>
  <c r="AQ54" i="44"/>
  <c r="AR54" i="44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BI9" i="39"/>
  <c r="BN12" i="39"/>
  <c r="A15" i="40"/>
  <c r="DA215" i="40" s="1"/>
  <c r="AO21" i="36"/>
  <c r="AQ21" i="36"/>
  <c r="AQ83" i="36" s="1"/>
  <c r="AR21" i="36"/>
  <c r="AR83" i="36" s="1"/>
  <c r="AW27" i="36"/>
  <c r="AT27" i="36" s="1"/>
  <c r="AO84" i="47"/>
  <c r="AU29" i="47"/>
  <c r="AV29" i="47" s="1"/>
  <c r="AP47" i="36"/>
  <c r="AQ64" i="36" s="1"/>
  <c r="AR64" i="36" s="1"/>
  <c r="AU27" i="36"/>
  <c r="AV27" i="36" s="1"/>
  <c r="AO82" i="36"/>
  <c r="AT82" i="36" s="1"/>
  <c r="AA14" i="37" l="1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AE19" i="37"/>
  <c r="AF19" i="37" s="1"/>
  <c r="AG19" i="37" s="1"/>
  <c r="BO13" i="37"/>
  <c r="AC19" i="37"/>
  <c r="AK53" i="37"/>
  <c r="AL53" i="37" s="1"/>
  <c r="AE17" i="37"/>
  <c r="AF17" i="37" s="1"/>
  <c r="AG17" i="37" s="1"/>
  <c r="AK51" i="37"/>
  <c r="AL51" i="37" s="1"/>
  <c r="AC17" i="37"/>
  <c r="BO11" i="37"/>
  <c r="AE24" i="37"/>
  <c r="AF24" i="37" s="1"/>
  <c r="AG24" i="37" s="1"/>
  <c r="BO18" i="37"/>
  <c r="AC24" i="37"/>
  <c r="AK58" i="37"/>
  <c r="AL58" i="37" s="1"/>
  <c r="AE15" i="37"/>
  <c r="AF15" i="37" s="1"/>
  <c r="AG15" i="37" s="1"/>
  <c r="AK49" i="37"/>
  <c r="AL49" i="37" s="1"/>
  <c r="AC15" i="37"/>
  <c r="BO9" i="37"/>
  <c r="AE21" i="37"/>
  <c r="AK55" i="37"/>
  <c r="AL55" i="37" s="1"/>
  <c r="BO15" i="37"/>
  <c r="AC21" i="37"/>
  <c r="AE25" i="37"/>
  <c r="AF25" i="37" s="1"/>
  <c r="AG25" i="37" s="1"/>
  <c r="AK59" i="37"/>
  <c r="AL59" i="37" s="1"/>
  <c r="BO19" i="37"/>
  <c r="AC25" i="37"/>
  <c r="AE22" i="37"/>
  <c r="AF22" i="37" s="1"/>
  <c r="AG22" i="37" s="1"/>
  <c r="BO16" i="37"/>
  <c r="AC22" i="37"/>
  <c r="AK56" i="37"/>
  <c r="AL56" i="37" s="1"/>
  <c r="AE20" i="37"/>
  <c r="AF20" i="37" s="1"/>
  <c r="AG20" i="37" s="1"/>
  <c r="AK54" i="37"/>
  <c r="AL54" i="37" s="1"/>
  <c r="AC20" i="37"/>
  <c r="BO14" i="37"/>
  <c r="AE23" i="37"/>
  <c r="AF23" i="37" s="1"/>
  <c r="AG23" i="37" s="1"/>
  <c r="AK57" i="37"/>
  <c r="AL57" i="37" s="1"/>
  <c r="AC23" i="37"/>
  <c r="BO17" i="37"/>
  <c r="AE18" i="37"/>
  <c r="AC18" i="37"/>
  <c r="BO12" i="37"/>
  <c r="AK52" i="37"/>
  <c r="AL52" i="37" s="1"/>
  <c r="AE16" i="37"/>
  <c r="AF16" i="37" s="1"/>
  <c r="AG16" i="37" s="1"/>
  <c r="AK50" i="37"/>
  <c r="AL50" i="37" s="1"/>
  <c r="BO10" i="37"/>
  <c r="AC16" i="37"/>
  <c r="AE25" i="34"/>
  <c r="AF25" i="34" s="1"/>
  <c r="AG25" i="34" s="1"/>
  <c r="BO19" i="34"/>
  <c r="AC25" i="34"/>
  <c r="AK59" i="34"/>
  <c r="AL59" i="34" s="1"/>
  <c r="AE22" i="34"/>
  <c r="AF22" i="34" s="1"/>
  <c r="AG22" i="34" s="1"/>
  <c r="BO16" i="34"/>
  <c r="AC22" i="34"/>
  <c r="AK56" i="34"/>
  <c r="AL56" i="34" s="1"/>
  <c r="AE19" i="34"/>
  <c r="AF19" i="34" s="1"/>
  <c r="AG19" i="34" s="1"/>
  <c r="AK53" i="34"/>
  <c r="AL53" i="34" s="1"/>
  <c r="AC19" i="34"/>
  <c r="BO13" i="34"/>
  <c r="AE17" i="34"/>
  <c r="AF17" i="34" s="1"/>
  <c r="AG17" i="34" s="1"/>
  <c r="AC17" i="34"/>
  <c r="AK51" i="34"/>
  <c r="AL51" i="34" s="1"/>
  <c r="BO11" i="34"/>
  <c r="AE16" i="34"/>
  <c r="AF16" i="34" s="1"/>
  <c r="AG16" i="34" s="1"/>
  <c r="AK50" i="34"/>
  <c r="AL50" i="34" s="1"/>
  <c r="BO10" i="34"/>
  <c r="AC16" i="34"/>
  <c r="AE15" i="34"/>
  <c r="AF15" i="34" s="1"/>
  <c r="AG15" i="34" s="1"/>
  <c r="BO9" i="34"/>
  <c r="AK49" i="34"/>
  <c r="AL49" i="34" s="1"/>
  <c r="AC15" i="34"/>
  <c r="AE14" i="34"/>
  <c r="AF14" i="34" s="1"/>
  <c r="AG14" i="34" s="1"/>
  <c r="AK48" i="34"/>
  <c r="AL48" i="34" s="1"/>
  <c r="AC14" i="34"/>
  <c r="BO8" i="34"/>
  <c r="DA221" i="34"/>
  <c r="A21" i="35"/>
  <c r="BN18" i="34"/>
  <c r="BI15" i="34"/>
  <c r="AE24" i="34"/>
  <c r="AF24" i="34" s="1"/>
  <c r="BO18" i="34"/>
  <c r="AK58" i="34"/>
  <c r="AL58" i="34" s="1"/>
  <c r="AC24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5" i="50"/>
  <c r="AU65" i="50" s="1"/>
  <c r="AT56" i="50"/>
  <c r="AU56" i="50" s="1"/>
  <c r="AT60" i="50"/>
  <c r="AU60" i="50" s="1"/>
  <c r="AT59" i="50"/>
  <c r="AU59" i="50" s="1"/>
  <c r="AT57" i="50"/>
  <c r="AU57" i="50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R47" i="48"/>
  <c r="AT62" i="48" s="1"/>
  <c r="AU62" i="48" s="1"/>
  <c r="AN22" i="48"/>
  <c r="AM22" i="48"/>
  <c r="AW28" i="48" s="1"/>
  <c r="AT28" i="48" s="1"/>
  <c r="AM22" i="45"/>
  <c r="AW28" i="45" s="1"/>
  <c r="AT28" i="45" s="1"/>
  <c r="AN22" i="45"/>
  <c r="AR47" i="45"/>
  <c r="AR47" i="44"/>
  <c r="AT48" i="44" s="1"/>
  <c r="AU48" i="44" s="1"/>
  <c r="AQ55" i="36"/>
  <c r="AR55" i="36" s="1"/>
  <c r="AQ61" i="36"/>
  <c r="AR61" i="36" s="1"/>
  <c r="AM22" i="44"/>
  <c r="AW28" i="44" s="1"/>
  <c r="AT28" i="44" s="1"/>
  <c r="AN22" i="44"/>
  <c r="BI22" i="40"/>
  <c r="BN25" i="40"/>
  <c r="A28" i="41"/>
  <c r="DA228" i="41" s="1"/>
  <c r="BI9" i="40"/>
  <c r="A15" i="41"/>
  <c r="DA215" i="41" s="1"/>
  <c r="BN12" i="40"/>
  <c r="BI23" i="40"/>
  <c r="BN26" i="40"/>
  <c r="A29" i="41"/>
  <c r="DA229" i="41" s="1"/>
  <c r="BI24" i="40"/>
  <c r="BN27" i="40"/>
  <c r="A30" i="41"/>
  <c r="DA230" i="41" s="1"/>
  <c r="AQ48" i="36"/>
  <c r="AR48" i="36" s="1"/>
  <c r="AQ22" i="46"/>
  <c r="AQ84" i="46" s="1"/>
  <c r="AR22" i="46"/>
  <c r="AR84" i="46" s="1"/>
  <c r="AO22" i="46"/>
  <c r="AP46" i="36"/>
  <c r="AL22" i="36" s="1"/>
  <c r="AQ52" i="36"/>
  <c r="AR52" i="36" s="1"/>
  <c r="AQ65" i="36"/>
  <c r="AR65" i="36" s="1"/>
  <c r="AQ57" i="36"/>
  <c r="AR57" i="36" s="1"/>
  <c r="AQ54" i="36"/>
  <c r="AR54" i="36" s="1"/>
  <c r="AQ51" i="36"/>
  <c r="AR51" i="36" s="1"/>
  <c r="AQ56" i="36"/>
  <c r="AR56" i="36" s="1"/>
  <c r="AQ58" i="36"/>
  <c r="AR58" i="36" s="1"/>
  <c r="AQ53" i="36"/>
  <c r="AR53" i="36" s="1"/>
  <c r="AQ50" i="36"/>
  <c r="AR50" i="36" s="1"/>
  <c r="AQ67" i="36"/>
  <c r="AR67" i="36" s="1"/>
  <c r="AQ59" i="36"/>
  <c r="AR59" i="36" s="1"/>
  <c r="AQ63" i="36"/>
  <c r="AR63" i="36" s="1"/>
  <c r="AQ62" i="36"/>
  <c r="AR62" i="36" s="1"/>
  <c r="AQ49" i="36"/>
  <c r="AR49" i="36" s="1"/>
  <c r="AQ60" i="36"/>
  <c r="AR60" i="36" s="1"/>
  <c r="AU28" i="36"/>
  <c r="AV28" i="36" s="1"/>
  <c r="AO83" i="36"/>
  <c r="AT83" i="36" s="1"/>
  <c r="AQ66" i="36"/>
  <c r="AR66" i="36" s="1"/>
  <c r="AF18" i="37" l="1"/>
  <c r="AG18" i="37" s="1"/>
  <c r="AF21" i="37"/>
  <c r="AG21" i="37" s="1"/>
  <c r="AE14" i="37"/>
  <c r="AF14" i="37" s="1"/>
  <c r="AK48" i="37"/>
  <c r="AL48" i="37" s="1"/>
  <c r="AC14" i="37"/>
  <c r="BO8" i="37"/>
  <c r="AL47" i="34"/>
  <c r="AM58" i="34"/>
  <c r="AN58" i="34" s="1"/>
  <c r="AG24" i="34"/>
  <c r="AG2" i="34"/>
  <c r="AC43" i="34" s="1"/>
  <c r="AG3" i="34"/>
  <c r="BC12" i="34" s="1"/>
  <c r="DA221" i="35"/>
  <c r="A21" i="36"/>
  <c r="BI15" i="35"/>
  <c r="BN18" i="35"/>
  <c r="AW29" i="24"/>
  <c r="AT29" i="24" s="1"/>
  <c r="AR22" i="24"/>
  <c r="AR84" i="24" s="1"/>
  <c r="AT84" i="24" s="1"/>
  <c r="AM23" i="50"/>
  <c r="AW29" i="50" s="1"/>
  <c r="AT29" i="50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T63" i="44"/>
  <c r="AU63" i="44" s="1"/>
  <c r="AT57" i="44"/>
  <c r="AU57" i="44" s="1"/>
  <c r="AT66" i="44"/>
  <c r="AU66" i="44" s="1"/>
  <c r="AT65" i="44"/>
  <c r="AU65" i="44" s="1"/>
  <c r="AT57" i="45"/>
  <c r="AU57" i="45" s="1"/>
  <c r="AQ22" i="44"/>
  <c r="AQ84" i="44" s="1"/>
  <c r="AR22" i="44"/>
  <c r="AR84" i="44" s="1"/>
  <c r="AO22" i="44"/>
  <c r="A61" i="43"/>
  <c r="DA215" i="43" s="1"/>
  <c r="BI9" i="41"/>
  <c r="BN12" i="41"/>
  <c r="BI22" i="41"/>
  <c r="BN25" i="41"/>
  <c r="A74" i="43"/>
  <c r="DA228" i="43" s="1"/>
  <c r="BN27" i="41"/>
  <c r="BI24" i="41"/>
  <c r="A76" i="43"/>
  <c r="DA230" i="43" s="1"/>
  <c r="BN26" i="41"/>
  <c r="A75" i="43"/>
  <c r="DA229" i="43" s="1"/>
  <c r="BI23" i="41"/>
  <c r="AR47" i="36"/>
  <c r="AT48" i="36" s="1"/>
  <c r="AU48" i="36" s="1"/>
  <c r="AR23" i="50"/>
  <c r="AR85" i="50" s="1"/>
  <c r="AQ23" i="50"/>
  <c r="AQ85" i="50" s="1"/>
  <c r="AO23" i="50"/>
  <c r="AM22" i="36"/>
  <c r="AW28" i="36" s="1"/>
  <c r="AT28" i="36" s="1"/>
  <c r="AN22" i="36"/>
  <c r="AO84" i="46"/>
  <c r="AT84" i="46" s="1"/>
  <c r="AU29" i="46"/>
  <c r="AV29" i="46" s="1"/>
  <c r="AL47" i="37" l="1"/>
  <c r="AM48" i="37"/>
  <c r="AN48" i="37" s="1"/>
  <c r="AG3" i="37"/>
  <c r="BC12" i="37" s="1"/>
  <c r="AG14" i="37"/>
  <c r="AG2" i="37"/>
  <c r="AC43" i="37" s="1"/>
  <c r="DA221" i="36"/>
  <c r="A21" i="37"/>
  <c r="BI15" i="36"/>
  <c r="BN18" i="36"/>
  <c r="BC29" i="34"/>
  <c r="BC23" i="34"/>
  <c r="BC24" i="34" s="1"/>
  <c r="BC25" i="34"/>
  <c r="BG26" i="34" s="1"/>
  <c r="BI67" i="34" s="1"/>
  <c r="BK67" i="34" s="1"/>
  <c r="H31" i="34" s="1"/>
  <c r="AM65" i="34"/>
  <c r="AN65" i="34" s="1"/>
  <c r="AM53" i="34"/>
  <c r="AN53" i="34" s="1"/>
  <c r="AM54" i="34"/>
  <c r="AN54" i="34" s="1"/>
  <c r="AM64" i="34"/>
  <c r="AN64" i="34" s="1"/>
  <c r="AM51" i="34"/>
  <c r="AN51" i="34" s="1"/>
  <c r="AM56" i="34"/>
  <c r="AN56" i="34" s="1"/>
  <c r="AM63" i="34"/>
  <c r="AN63" i="34" s="1"/>
  <c r="AM48" i="34"/>
  <c r="AN48" i="34" s="1"/>
  <c r="AM61" i="34"/>
  <c r="AN61" i="34" s="1"/>
  <c r="AM67" i="34"/>
  <c r="AN67" i="34" s="1"/>
  <c r="AM52" i="34"/>
  <c r="AN52" i="34" s="1"/>
  <c r="AM55" i="34"/>
  <c r="AN55" i="34" s="1"/>
  <c r="AM66" i="34"/>
  <c r="AN66" i="34" s="1"/>
  <c r="AM62" i="34"/>
  <c r="AN62" i="34" s="1"/>
  <c r="AM50" i="34"/>
  <c r="AN50" i="34" s="1"/>
  <c r="AM59" i="34"/>
  <c r="AN59" i="34" s="1"/>
  <c r="AM49" i="34"/>
  <c r="AN49" i="34" s="1"/>
  <c r="AM57" i="34"/>
  <c r="AN57" i="34" s="1"/>
  <c r="AL46" i="34"/>
  <c r="AL20" i="34" s="1"/>
  <c r="AN20" i="34" s="1"/>
  <c r="AM60" i="34"/>
  <c r="AN60" i="34" s="1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3" i="49"/>
  <c r="AR23" i="49" s="1"/>
  <c r="AR85" i="49" s="1"/>
  <c r="AN23" i="47"/>
  <c r="AM23" i="47"/>
  <c r="AW29" i="47" s="1"/>
  <c r="AT29" i="47" s="1"/>
  <c r="AU47" i="46"/>
  <c r="AV64" i="46" s="1"/>
  <c r="AW64" i="46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T65" i="43"/>
  <c r="AU65" i="43" s="1"/>
  <c r="AO84" i="44"/>
  <c r="AT84" i="44" s="1"/>
  <c r="AU29" i="44"/>
  <c r="AV29" i="44" s="1"/>
  <c r="AT57" i="43"/>
  <c r="AU57" i="43" s="1"/>
  <c r="AT54" i="36"/>
  <c r="AU54" i="36" s="1"/>
  <c r="AT53" i="36"/>
  <c r="AU53" i="36" s="1"/>
  <c r="AT56" i="43"/>
  <c r="AU56" i="43" s="1"/>
  <c r="BI22" i="43"/>
  <c r="BN25" i="43"/>
  <c r="A74" i="44"/>
  <c r="DA228" i="44" s="1"/>
  <c r="BI9" i="43"/>
  <c r="A61" i="44"/>
  <c r="DA215" i="44" s="1"/>
  <c r="BN12" i="43"/>
  <c r="A75" i="44"/>
  <c r="DA229" i="44" s="1"/>
  <c r="BN26" i="43"/>
  <c r="BI23" i="43"/>
  <c r="BI24" i="43"/>
  <c r="A76" i="44"/>
  <c r="DA230" i="44" s="1"/>
  <c r="BN27" i="43"/>
  <c r="AR46" i="36"/>
  <c r="AT64" i="36"/>
  <c r="AU64" i="36" s="1"/>
  <c r="AT61" i="36"/>
  <c r="AU61" i="36" s="1"/>
  <c r="AT55" i="36"/>
  <c r="AU55" i="36" s="1"/>
  <c r="AT65" i="36"/>
  <c r="AU65" i="36" s="1"/>
  <c r="AM23" i="46"/>
  <c r="AW29" i="46" s="1"/>
  <c r="AT29" i="46" s="1"/>
  <c r="AN23" i="46"/>
  <c r="AT63" i="36"/>
  <c r="AU63" i="36" s="1"/>
  <c r="AT52" i="36"/>
  <c r="AU52" i="36" s="1"/>
  <c r="AT56" i="36"/>
  <c r="AU56" i="36" s="1"/>
  <c r="AT60" i="36"/>
  <c r="AU60" i="36" s="1"/>
  <c r="AT51" i="43"/>
  <c r="AU51" i="43" s="1"/>
  <c r="AT57" i="36"/>
  <c r="AU57" i="36" s="1"/>
  <c r="AO85" i="50"/>
  <c r="AT85" i="50" s="1"/>
  <c r="AU30" i="50"/>
  <c r="AV30" i="50" s="1"/>
  <c r="AT51" i="36"/>
  <c r="AU51" i="36" s="1"/>
  <c r="AT62" i="43"/>
  <c r="AU62" i="43" s="1"/>
  <c r="AT67" i="36"/>
  <c r="AU67" i="36" s="1"/>
  <c r="AT58" i="36"/>
  <c r="AU58" i="36" s="1"/>
  <c r="AT62" i="36"/>
  <c r="AU62" i="36" s="1"/>
  <c r="AR22" i="36"/>
  <c r="AR84" i="36" s="1"/>
  <c r="AQ22" i="36"/>
  <c r="AQ84" i="36" s="1"/>
  <c r="AO22" i="36"/>
  <c r="AT50" i="36"/>
  <c r="AU50" i="36" s="1"/>
  <c r="AT49" i="36"/>
  <c r="AU49" i="36" s="1"/>
  <c r="AR46" i="43"/>
  <c r="AT66" i="36"/>
  <c r="AU66" i="36" s="1"/>
  <c r="AT59" i="36"/>
  <c r="AU59" i="36" s="1"/>
  <c r="AT64" i="43"/>
  <c r="AU64" i="43" s="1"/>
  <c r="BC24" i="37" l="1"/>
  <c r="BC29" i="37"/>
  <c r="BC25" i="37"/>
  <c r="BC23" i="37"/>
  <c r="AM67" i="37"/>
  <c r="AN67" i="37" s="1"/>
  <c r="AM66" i="37"/>
  <c r="AN66" i="37" s="1"/>
  <c r="AM65" i="37"/>
  <c r="AN65" i="37" s="1"/>
  <c r="AL46" i="37"/>
  <c r="AL20" i="37" s="1"/>
  <c r="AM61" i="37"/>
  <c r="AN61" i="37" s="1"/>
  <c r="AM63" i="37"/>
  <c r="AN63" i="37" s="1"/>
  <c r="AM64" i="37"/>
  <c r="AN64" i="37" s="1"/>
  <c r="AM62" i="37"/>
  <c r="AN62" i="37" s="1"/>
  <c r="AM60" i="37"/>
  <c r="AN60" i="37" s="1"/>
  <c r="AM50" i="37"/>
  <c r="AN50" i="37" s="1"/>
  <c r="AM52" i="37"/>
  <c r="AN52" i="37" s="1"/>
  <c r="AM57" i="37"/>
  <c r="AN57" i="37" s="1"/>
  <c r="AM54" i="37"/>
  <c r="AN54" i="37" s="1"/>
  <c r="AM56" i="37"/>
  <c r="AN56" i="37" s="1"/>
  <c r="AM59" i="37"/>
  <c r="AN59" i="37" s="1"/>
  <c r="AM55" i="37"/>
  <c r="AN55" i="37" s="1"/>
  <c r="AM49" i="37"/>
  <c r="AN49" i="37" s="1"/>
  <c r="AM58" i="37"/>
  <c r="AN58" i="37" s="1"/>
  <c r="AM51" i="37"/>
  <c r="AN51" i="37" s="1"/>
  <c r="AM53" i="37"/>
  <c r="AN53" i="37" s="1"/>
  <c r="H31" i="50"/>
  <c r="I31" i="34"/>
  <c r="H31" i="36"/>
  <c r="H31" i="46"/>
  <c r="H31" i="41"/>
  <c r="H31" i="35"/>
  <c r="H31" i="39"/>
  <c r="H31" i="47"/>
  <c r="H31" i="43"/>
  <c r="H31" i="45"/>
  <c r="H31" i="49"/>
  <c r="H31" i="40"/>
  <c r="H31" i="48"/>
  <c r="DE231" i="34"/>
  <c r="H31" i="44"/>
  <c r="H31" i="38"/>
  <c r="H31" i="37"/>
  <c r="AQ20" i="34"/>
  <c r="AQ82" i="34" s="1"/>
  <c r="AN47" i="34"/>
  <c r="AO48" i="34"/>
  <c r="AP48" i="34" s="1"/>
  <c r="AO63" i="34"/>
  <c r="AP63" i="34" s="1"/>
  <c r="AO56" i="34"/>
  <c r="AP56" i="34" s="1"/>
  <c r="AO51" i="34"/>
  <c r="AP51" i="34" s="1"/>
  <c r="AO64" i="34"/>
  <c r="AP64" i="34" s="1"/>
  <c r="AO54" i="34"/>
  <c r="AP54" i="34" s="1"/>
  <c r="AO53" i="34"/>
  <c r="AP53" i="34" s="1"/>
  <c r="BG23" i="34"/>
  <c r="BK65" i="34" s="1"/>
  <c r="BG12" i="34"/>
  <c r="BK54" i="34" s="1"/>
  <c r="H18" i="34" s="1"/>
  <c r="I18" i="34" s="1"/>
  <c r="BG24" i="34"/>
  <c r="BK66" i="34" s="1"/>
  <c r="BG22" i="34"/>
  <c r="BK64" i="34" s="1"/>
  <c r="BG5" i="34"/>
  <c r="BG16" i="34"/>
  <c r="BK58" i="34" s="1"/>
  <c r="H22" i="34" s="1"/>
  <c r="I22" i="34" s="1"/>
  <c r="BG14" i="34"/>
  <c r="BK56" i="34" s="1"/>
  <c r="H20" i="34" s="1"/>
  <c r="I20" i="34" s="1"/>
  <c r="BG6" i="34"/>
  <c r="BK48" i="34" s="1"/>
  <c r="H12" i="34" s="1"/>
  <c r="I12" i="34" s="1"/>
  <c r="BG19" i="34"/>
  <c r="BK61" i="34" s="1"/>
  <c r="H25" i="34" s="1"/>
  <c r="I25" i="34" s="1"/>
  <c r="BG15" i="34"/>
  <c r="BK57" i="34" s="1"/>
  <c r="H21" i="34" s="1"/>
  <c r="I21" i="34" s="1"/>
  <c r="BG18" i="34"/>
  <c r="BK60" i="34" s="1"/>
  <c r="H24" i="34" s="1"/>
  <c r="I24" i="34" s="1"/>
  <c r="BG11" i="34"/>
  <c r="BK53" i="34" s="1"/>
  <c r="H17" i="34" s="1"/>
  <c r="I17" i="34" s="1"/>
  <c r="BG13" i="34"/>
  <c r="BK55" i="34" s="1"/>
  <c r="H19" i="34" s="1"/>
  <c r="I19" i="34" s="1"/>
  <c r="BG20" i="34"/>
  <c r="BK62" i="34" s="1"/>
  <c r="H26" i="34" s="1"/>
  <c r="I26" i="34" s="1"/>
  <c r="BG10" i="34"/>
  <c r="BK52" i="34" s="1"/>
  <c r="H16" i="34" s="1"/>
  <c r="I16" i="34" s="1"/>
  <c r="BG8" i="34"/>
  <c r="BK50" i="34" s="1"/>
  <c r="H14" i="34" s="1"/>
  <c r="I14" i="34" s="1"/>
  <c r="BG21" i="34"/>
  <c r="BK63" i="34" s="1"/>
  <c r="H27" i="34" s="1"/>
  <c r="I27" i="34" s="1"/>
  <c r="BG17" i="34"/>
  <c r="BK59" i="34" s="1"/>
  <c r="H23" i="34" s="1"/>
  <c r="I23" i="34" s="1"/>
  <c r="BG9" i="34"/>
  <c r="BK51" i="34" s="1"/>
  <c r="H15" i="34" s="1"/>
  <c r="I15" i="34" s="1"/>
  <c r="BG7" i="34"/>
  <c r="BK49" i="34" s="1"/>
  <c r="H13" i="34" s="1"/>
  <c r="I13" i="34" s="1"/>
  <c r="DA221" i="37"/>
  <c r="BN18" i="37"/>
  <c r="A21" i="38"/>
  <c r="BI15" i="37"/>
  <c r="AO22" i="43"/>
  <c r="AR22" i="43"/>
  <c r="AR84" i="43" s="1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V66" i="47"/>
  <c r="AW66" i="47" s="1"/>
  <c r="AV65" i="44"/>
  <c r="AW65" i="44" s="1"/>
  <c r="AR23" i="44"/>
  <c r="AR85" i="44" s="1"/>
  <c r="AO23" i="44"/>
  <c r="AV66" i="46"/>
  <c r="AW66" i="46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V48" i="44"/>
  <c r="AW48" i="44" s="1"/>
  <c r="AV50" i="44"/>
  <c r="AW50" i="44" s="1"/>
  <c r="AV52" i="44"/>
  <c r="AW52" i="44" s="1"/>
  <c r="AV59" i="44"/>
  <c r="AW59" i="44" s="1"/>
  <c r="AU46" i="44"/>
  <c r="AL24" i="44" s="1"/>
  <c r="AN24" i="44" s="1"/>
  <c r="AV54" i="44"/>
  <c r="AW54" i="44" s="1"/>
  <c r="AV55" i="44"/>
  <c r="AW55" i="44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U30" i="48"/>
  <c r="AV30" i="48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O23" i="45"/>
  <c r="AU30" i="45" s="1"/>
  <c r="AV30" i="45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BN12" i="44"/>
  <c r="A15" i="44"/>
  <c r="BI9" i="44"/>
  <c r="A61" i="45"/>
  <c r="DA215" i="45" s="1"/>
  <c r="AL23" i="43"/>
  <c r="AL23" i="36"/>
  <c r="AO84" i="43"/>
  <c r="AT84" i="43" s="1"/>
  <c r="AU29" i="43"/>
  <c r="AV29" i="43" s="1"/>
  <c r="AU47" i="36"/>
  <c r="AV59" i="36" s="1"/>
  <c r="AW59" i="36" s="1"/>
  <c r="AO84" i="36"/>
  <c r="AT84" i="36" s="1"/>
  <c r="AU29" i="36"/>
  <c r="AV29" i="36" s="1"/>
  <c r="AQ23" i="46"/>
  <c r="AQ85" i="46" s="1"/>
  <c r="AO23" i="46"/>
  <c r="AR23" i="46"/>
  <c r="AR85" i="46" s="1"/>
  <c r="AN47" i="37" l="1"/>
  <c r="AO55" i="37"/>
  <c r="AP55" i="37" s="1"/>
  <c r="AO56" i="37"/>
  <c r="AP56" i="37" s="1"/>
  <c r="AO54" i="37"/>
  <c r="AP54" i="37" s="1"/>
  <c r="AO57" i="37"/>
  <c r="AP57" i="37" s="1"/>
  <c r="AO52" i="37"/>
  <c r="AP52" i="37" s="1"/>
  <c r="AO50" i="37"/>
  <c r="AP50" i="37" s="1"/>
  <c r="AO60" i="37"/>
  <c r="AP60" i="37" s="1"/>
  <c r="AO62" i="37"/>
  <c r="AP62" i="37" s="1"/>
  <c r="AO64" i="37"/>
  <c r="AP64" i="37" s="1"/>
  <c r="AO63" i="37"/>
  <c r="AP63" i="37" s="1"/>
  <c r="AO61" i="37"/>
  <c r="AP61" i="37" s="1"/>
  <c r="AN20" i="37"/>
  <c r="AO65" i="37"/>
  <c r="AP65" i="37" s="1"/>
  <c r="AO66" i="37"/>
  <c r="AP66" i="37" s="1"/>
  <c r="AO67" i="37"/>
  <c r="AP67" i="37" s="1"/>
  <c r="BG12" i="37"/>
  <c r="BK56" i="37" s="1"/>
  <c r="N18" i="37" s="1"/>
  <c r="O18" i="37" s="1"/>
  <c r="BG22" i="37"/>
  <c r="BK66" i="37" s="1"/>
  <c r="BG7" i="37"/>
  <c r="BK51" i="37" s="1"/>
  <c r="N13" i="37" s="1"/>
  <c r="O13" i="37" s="1"/>
  <c r="BG23" i="37"/>
  <c r="BK67" i="37" s="1"/>
  <c r="BG16" i="37"/>
  <c r="BK60" i="37" s="1"/>
  <c r="N22" i="37" s="1"/>
  <c r="O22" i="37" s="1"/>
  <c r="BG19" i="37"/>
  <c r="BK63" i="37" s="1"/>
  <c r="N25" i="37" s="1"/>
  <c r="O25" i="37" s="1"/>
  <c r="BG9" i="37"/>
  <c r="BK53" i="37" s="1"/>
  <c r="N15" i="37" s="1"/>
  <c r="O15" i="37" s="1"/>
  <c r="BG20" i="37"/>
  <c r="BK64" i="37" s="1"/>
  <c r="N26" i="37" s="1"/>
  <c r="O26" i="37" s="1"/>
  <c r="BG6" i="37"/>
  <c r="BK50" i="37" s="1"/>
  <c r="N12" i="37" s="1"/>
  <c r="O12" i="37" s="1"/>
  <c r="BG5" i="37"/>
  <c r="BG15" i="37"/>
  <c r="BK59" i="37" s="1"/>
  <c r="N21" i="37" s="1"/>
  <c r="O21" i="37" s="1"/>
  <c r="BG21" i="37"/>
  <c r="BK65" i="37" s="1"/>
  <c r="N27" i="37" s="1"/>
  <c r="O27" i="37" s="1"/>
  <c r="BG8" i="37"/>
  <c r="BK52" i="37" s="1"/>
  <c r="N14" i="37" s="1"/>
  <c r="O14" i="37" s="1"/>
  <c r="BG13" i="37"/>
  <c r="BK57" i="37" s="1"/>
  <c r="N19" i="37" s="1"/>
  <c r="O19" i="37" s="1"/>
  <c r="BG14" i="37"/>
  <c r="BK58" i="37" s="1"/>
  <c r="N20" i="37" s="1"/>
  <c r="O20" i="37" s="1"/>
  <c r="BG10" i="37"/>
  <c r="BK54" i="37" s="1"/>
  <c r="N16" i="37" s="1"/>
  <c r="O16" i="37" s="1"/>
  <c r="BG11" i="37"/>
  <c r="BK55" i="37" s="1"/>
  <c r="N17" i="37" s="1"/>
  <c r="O17" i="37" s="1"/>
  <c r="BG17" i="37"/>
  <c r="BK61" i="37" s="1"/>
  <c r="N23" i="37" s="1"/>
  <c r="O23" i="37" s="1"/>
  <c r="BG18" i="37"/>
  <c r="BK62" i="37" s="1"/>
  <c r="N24" i="37" s="1"/>
  <c r="O24" i="37" s="1"/>
  <c r="BG24" i="37"/>
  <c r="BK68" i="37" s="1"/>
  <c r="DF231" i="34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DF213" i="34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F215" i="34"/>
  <c r="I15" i="36"/>
  <c r="I15" i="46"/>
  <c r="I15" i="39"/>
  <c r="I15" i="48"/>
  <c r="I15" i="40"/>
  <c r="I15" i="50"/>
  <c r="I15" i="41"/>
  <c r="I15" i="43"/>
  <c r="I15" i="37"/>
  <c r="I15" i="38"/>
  <c r="I15" i="45"/>
  <c r="I15" i="49"/>
  <c r="I15" i="44"/>
  <c r="I15" i="47"/>
  <c r="I15" i="35"/>
  <c r="I23" i="41"/>
  <c r="I23" i="38"/>
  <c r="I23" i="36"/>
  <c r="I23" i="46"/>
  <c r="I23" i="48"/>
  <c r="I23" i="39"/>
  <c r="I23" i="47"/>
  <c r="I23" i="44"/>
  <c r="I23" i="45"/>
  <c r="I23" i="49"/>
  <c r="I23" i="37"/>
  <c r="I23" i="40"/>
  <c r="I23" i="50"/>
  <c r="I23" i="35"/>
  <c r="AA26" i="35" s="1"/>
  <c r="DF223" i="34"/>
  <c r="I23" i="43"/>
  <c r="A23" i="34"/>
  <c r="DF227" i="34"/>
  <c r="I27" i="39"/>
  <c r="I27" i="43"/>
  <c r="I27" i="45"/>
  <c r="I27" i="44"/>
  <c r="I27" i="48"/>
  <c r="I27" i="47"/>
  <c r="I27" i="41"/>
  <c r="I27" i="46"/>
  <c r="I27" i="40"/>
  <c r="I27" i="50"/>
  <c r="I27" i="37"/>
  <c r="I27" i="36"/>
  <c r="I27" i="38"/>
  <c r="I27" i="35"/>
  <c r="AA30" i="35" s="1"/>
  <c r="I27" i="49"/>
  <c r="A27" i="34"/>
  <c r="DF214" i="34"/>
  <c r="I14" i="46"/>
  <c r="I14" i="44"/>
  <c r="I14" i="49"/>
  <c r="I14" i="43"/>
  <c r="I14" i="38"/>
  <c r="I14" i="47"/>
  <c r="I14" i="41"/>
  <c r="I14" i="48"/>
  <c r="I14" i="45"/>
  <c r="I14" i="36"/>
  <c r="I14" i="35"/>
  <c r="I14" i="50"/>
  <c r="I14" i="39"/>
  <c r="I14" i="37"/>
  <c r="I14" i="40"/>
  <c r="A14" i="34"/>
  <c r="I16" i="40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A16" i="34"/>
  <c r="DF226" i="34"/>
  <c r="I26" i="37"/>
  <c r="I26" i="45"/>
  <c r="I26" i="38"/>
  <c r="I26" i="35"/>
  <c r="AA29" i="35" s="1"/>
  <c r="I26" i="50"/>
  <c r="I26" i="49"/>
  <c r="I26" i="41"/>
  <c r="I26" i="44"/>
  <c r="I26" i="46"/>
  <c r="I26" i="43"/>
  <c r="I26" i="48"/>
  <c r="I26" i="39"/>
  <c r="I26" i="47"/>
  <c r="I26" i="36"/>
  <c r="I26" i="40"/>
  <c r="A26" i="34"/>
  <c r="DF219" i="34"/>
  <c r="I19" i="35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A19" i="34"/>
  <c r="DF217" i="34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A17" i="34"/>
  <c r="DF224" i="34"/>
  <c r="I24" i="45"/>
  <c r="I24" i="38"/>
  <c r="I24" i="39"/>
  <c r="I24" i="37"/>
  <c r="I24" i="44"/>
  <c r="I24" i="43"/>
  <c r="I24" i="46"/>
  <c r="I24" i="48"/>
  <c r="I24" i="40"/>
  <c r="I24" i="47"/>
  <c r="I24" i="49"/>
  <c r="I24" i="35"/>
  <c r="AA27" i="35" s="1"/>
  <c r="I24" i="50"/>
  <c r="I24" i="41"/>
  <c r="I24" i="36"/>
  <c r="A24" i="34"/>
  <c r="I21" i="41"/>
  <c r="DF221" i="34"/>
  <c r="I21" i="43"/>
  <c r="I21" i="35"/>
  <c r="I21" i="38"/>
  <c r="I21" i="48"/>
  <c r="I21" i="47"/>
  <c r="I21" i="39"/>
  <c r="I21" i="50"/>
  <c r="I21" i="37"/>
  <c r="I21" i="44"/>
  <c r="I21" i="49"/>
  <c r="I21" i="36"/>
  <c r="I21" i="46"/>
  <c r="I21" i="40"/>
  <c r="I21" i="45"/>
  <c r="DF225" i="34"/>
  <c r="I25" i="35"/>
  <c r="AA28" i="35" s="1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A25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A12" i="34"/>
  <c r="DF220" i="34"/>
  <c r="I20" i="50"/>
  <c r="I20" i="37"/>
  <c r="I20" i="39"/>
  <c r="I20" i="46"/>
  <c r="I20" i="45"/>
  <c r="I20" i="41"/>
  <c r="I20" i="47"/>
  <c r="I20" i="48"/>
  <c r="I20" i="43"/>
  <c r="I20" i="35"/>
  <c r="I20" i="44"/>
  <c r="I20" i="38"/>
  <c r="I20" i="36"/>
  <c r="I20" i="40"/>
  <c r="I20" i="49"/>
  <c r="A20" i="34"/>
  <c r="DF222" i="34"/>
  <c r="I22" i="50"/>
  <c r="I22" i="40"/>
  <c r="I22" i="39"/>
  <c r="I22" i="44"/>
  <c r="I22" i="35"/>
  <c r="I22" i="46"/>
  <c r="I22" i="49"/>
  <c r="I22" i="47"/>
  <c r="I22" i="37"/>
  <c r="I22" i="36"/>
  <c r="I22" i="43"/>
  <c r="I22" i="45"/>
  <c r="I22" i="38"/>
  <c r="I22" i="41"/>
  <c r="I22" i="48"/>
  <c r="A22" i="34"/>
  <c r="DF218" i="34"/>
  <c r="I18" i="44"/>
  <c r="I18" i="41"/>
  <c r="I18" i="40"/>
  <c r="I18" i="49"/>
  <c r="I18" i="36"/>
  <c r="I18" i="43"/>
  <c r="I18" i="45"/>
  <c r="I18" i="37"/>
  <c r="I18" i="39"/>
  <c r="I18" i="46"/>
  <c r="I18" i="50"/>
  <c r="I18" i="47"/>
  <c r="I18" i="38"/>
  <c r="I18" i="35"/>
  <c r="I18" i="48"/>
  <c r="A18" i="34"/>
  <c r="DA221" i="38"/>
  <c r="A21" i="39"/>
  <c r="BI15" i="38"/>
  <c r="BN18" i="38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I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O65" i="34"/>
  <c r="AP65" i="34" s="1"/>
  <c r="AN46" i="34"/>
  <c r="AL21" i="34" s="1"/>
  <c r="AO58" i="34"/>
  <c r="AP58" i="34" s="1"/>
  <c r="AO60" i="34"/>
  <c r="AP60" i="34" s="1"/>
  <c r="AO57" i="34"/>
  <c r="AP57" i="34" s="1"/>
  <c r="AO49" i="34"/>
  <c r="AP49" i="34" s="1"/>
  <c r="AO59" i="34"/>
  <c r="AP59" i="34" s="1"/>
  <c r="AO50" i="34"/>
  <c r="AP50" i="34" s="1"/>
  <c r="AO62" i="34"/>
  <c r="AP62" i="34" s="1"/>
  <c r="AO66" i="34"/>
  <c r="AP66" i="34" s="1"/>
  <c r="AO55" i="34"/>
  <c r="AP55" i="34" s="1"/>
  <c r="AO52" i="34"/>
  <c r="AP52" i="34" s="1"/>
  <c r="AO67" i="34"/>
  <c r="AP67" i="34" s="1"/>
  <c r="AO61" i="34"/>
  <c r="AP61" i="34" s="1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N24" i="47"/>
  <c r="AQ24" i="47" s="1"/>
  <c r="AQ86" i="47" s="1"/>
  <c r="AW47" i="47"/>
  <c r="AW46" i="47" s="1"/>
  <c r="AL25" i="47" s="1"/>
  <c r="AM25" i="47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M24" i="49"/>
  <c r="AW30" i="49" s="1"/>
  <c r="AT30" i="49" s="1"/>
  <c r="AN24" i="49"/>
  <c r="AW47" i="48"/>
  <c r="AW46" i="48" s="1"/>
  <c r="AL25" i="48" s="1"/>
  <c r="AM25" i="48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V50" i="36"/>
  <c r="AW50" i="36" s="1"/>
  <c r="AV55" i="36"/>
  <c r="AW55" i="36" s="1"/>
  <c r="AQ24" i="44"/>
  <c r="AQ86" i="44" s="1"/>
  <c r="AO24" i="44"/>
  <c r="AR24" i="44"/>
  <c r="AR86" i="44" s="1"/>
  <c r="AV67" i="36"/>
  <c r="AW67" i="36" s="1"/>
  <c r="AV55" i="43"/>
  <c r="AW55" i="43" s="1"/>
  <c r="AV51" i="43"/>
  <c r="AW51" i="43" s="1"/>
  <c r="AV64" i="43"/>
  <c r="AW64" i="43" s="1"/>
  <c r="AV66" i="43"/>
  <c r="AW66" i="43" s="1"/>
  <c r="BI24" i="45"/>
  <c r="A30" i="45"/>
  <c r="A76" i="46"/>
  <c r="DA230" i="46" s="1"/>
  <c r="BN27" i="45"/>
  <c r="A29" i="45"/>
  <c r="BN26" i="45"/>
  <c r="A75" i="46"/>
  <c r="DA229" i="46" s="1"/>
  <c r="BI23" i="45"/>
  <c r="BN12" i="45"/>
  <c r="A15" i="45"/>
  <c r="BI9" i="45"/>
  <c r="A61" i="46"/>
  <c r="DA215" i="46" s="1"/>
  <c r="A28" i="45"/>
  <c r="BI22" i="45"/>
  <c r="BN25" i="45"/>
  <c r="A74" i="46"/>
  <c r="DA228" i="46" s="1"/>
  <c r="AV57" i="36"/>
  <c r="AW57" i="36" s="1"/>
  <c r="AV62" i="36"/>
  <c r="AW62" i="36" s="1"/>
  <c r="AV66" i="36"/>
  <c r="AW66" i="36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V64" i="36"/>
  <c r="AW64" i="36" s="1"/>
  <c r="AN23" i="43"/>
  <c r="AM23" i="43"/>
  <c r="AW29" i="43" s="1"/>
  <c r="AT29" i="43" s="1"/>
  <c r="AM23" i="36"/>
  <c r="AW29" i="36" s="1"/>
  <c r="AT29" i="36" s="1"/>
  <c r="AN23" i="36"/>
  <c r="AV49" i="36"/>
  <c r="AW49" i="36" s="1"/>
  <c r="AV51" i="36"/>
  <c r="AW51" i="36" s="1"/>
  <c r="AU30" i="46"/>
  <c r="AV30" i="46" s="1"/>
  <c r="AO85" i="46"/>
  <c r="AT85" i="46" s="1"/>
  <c r="AV61" i="36"/>
  <c r="AW61" i="36" s="1"/>
  <c r="AV65" i="36"/>
  <c r="AW65" i="36" s="1"/>
  <c r="AV52" i="36"/>
  <c r="AW52" i="36" s="1"/>
  <c r="AV62" i="43"/>
  <c r="AW62" i="43" s="1"/>
  <c r="AQ24" i="46"/>
  <c r="AQ86" i="46" s="1"/>
  <c r="AO24" i="46"/>
  <c r="AR24" i="46"/>
  <c r="AR86" i="46" s="1"/>
  <c r="AU46" i="36"/>
  <c r="AL24" i="36" s="1"/>
  <c r="AV54" i="36"/>
  <c r="AW54" i="36" s="1"/>
  <c r="AV53" i="36"/>
  <c r="AW53" i="36" s="1"/>
  <c r="AV48" i="36"/>
  <c r="AW48" i="36" s="1"/>
  <c r="AV56" i="36"/>
  <c r="AW56" i="36" s="1"/>
  <c r="AV63" i="36"/>
  <c r="AW63" i="36" s="1"/>
  <c r="AV60" i="36"/>
  <c r="AW60" i="36" s="1"/>
  <c r="AV58" i="36"/>
  <c r="AW58" i="36" s="1"/>
  <c r="O24" i="47" l="1"/>
  <c r="O24" i="46"/>
  <c r="O24" i="41"/>
  <c r="O24" i="39"/>
  <c r="O24" i="50"/>
  <c r="O24" i="45"/>
  <c r="O24" i="43"/>
  <c r="O24" i="44"/>
  <c r="O24" i="38"/>
  <c r="AA27" i="38" s="1"/>
  <c r="O24" i="40"/>
  <c r="O24" i="48"/>
  <c r="O24" i="49"/>
  <c r="DF224" i="37"/>
  <c r="O23" i="41"/>
  <c r="O23" i="47"/>
  <c r="DF223" i="37"/>
  <c r="O23" i="38"/>
  <c r="AA26" i="38" s="1"/>
  <c r="O23" i="44"/>
  <c r="O23" i="40"/>
  <c r="O23" i="39"/>
  <c r="O23" i="45"/>
  <c r="O23" i="50"/>
  <c r="O23" i="43"/>
  <c r="O23" i="46"/>
  <c r="O23" i="48"/>
  <c r="O23" i="49"/>
  <c r="O17" i="41"/>
  <c r="O17" i="39"/>
  <c r="O17" i="38"/>
  <c r="O17" i="40"/>
  <c r="O17" i="49"/>
  <c r="O17" i="45"/>
  <c r="O17" i="50"/>
  <c r="DF217" i="37"/>
  <c r="O17" i="48"/>
  <c r="O17" i="44"/>
  <c r="O17" i="43"/>
  <c r="O17" i="47"/>
  <c r="O17" i="46"/>
  <c r="O20" i="50"/>
  <c r="O20" i="45"/>
  <c r="O20" i="38"/>
  <c r="O20" i="49"/>
  <c r="O20" i="40"/>
  <c r="O20" i="48"/>
  <c r="O20" i="44"/>
  <c r="O20" i="41"/>
  <c r="O20" i="39"/>
  <c r="O20" i="43"/>
  <c r="DF220" i="37"/>
  <c r="O20" i="46"/>
  <c r="O20" i="47"/>
  <c r="DF219" i="37"/>
  <c r="O19" i="48"/>
  <c r="O19" i="43"/>
  <c r="O19" i="47"/>
  <c r="O19" i="46"/>
  <c r="O19" i="45"/>
  <c r="O19" i="39"/>
  <c r="O19" i="40"/>
  <c r="O19" i="38"/>
  <c r="O19" i="44"/>
  <c r="O19" i="50"/>
  <c r="O19" i="49"/>
  <c r="O19" i="41"/>
  <c r="O14" i="48"/>
  <c r="DF214" i="37"/>
  <c r="O14" i="50"/>
  <c r="O14" i="40"/>
  <c r="O14" i="49"/>
  <c r="O14" i="39"/>
  <c r="O14" i="44"/>
  <c r="O14" i="47"/>
  <c r="O14" i="46"/>
  <c r="O14" i="41"/>
  <c r="O14" i="38"/>
  <c r="O14" i="45"/>
  <c r="O14" i="43"/>
  <c r="O27" i="40"/>
  <c r="O27" i="48"/>
  <c r="DF227" i="37"/>
  <c r="O27" i="38"/>
  <c r="AA30" i="38" s="1"/>
  <c r="O27" i="41"/>
  <c r="O27" i="50"/>
  <c r="O27" i="49"/>
  <c r="O27" i="43"/>
  <c r="O27" i="44"/>
  <c r="O27" i="39"/>
  <c r="O27" i="45"/>
  <c r="O27" i="46"/>
  <c r="O27" i="47"/>
  <c r="O21" i="49"/>
  <c r="DF221" i="37"/>
  <c r="O21" i="43"/>
  <c r="O21" i="50"/>
  <c r="O21" i="45"/>
  <c r="O21" i="44"/>
  <c r="O21" i="38"/>
  <c r="O21" i="48"/>
  <c r="O21" i="40"/>
  <c r="O21" i="47"/>
  <c r="O21" i="46"/>
  <c r="O21" i="39"/>
  <c r="O21" i="41"/>
  <c r="O12" i="46"/>
  <c r="O12" i="39"/>
  <c r="O12" i="49"/>
  <c r="O12" i="38"/>
  <c r="O12" i="47"/>
  <c r="O12" i="50"/>
  <c r="DF212" i="37"/>
  <c r="O12" i="45"/>
  <c r="O12" i="40"/>
  <c r="O12" i="43"/>
  <c r="O12" i="41"/>
  <c r="O12" i="44"/>
  <c r="O12" i="48"/>
  <c r="O26" i="46"/>
  <c r="O26" i="43"/>
  <c r="O26" i="49"/>
  <c r="DF226" i="37"/>
  <c r="O26" i="38"/>
  <c r="AA29" i="38" s="1"/>
  <c r="O26" i="44"/>
  <c r="O26" i="39"/>
  <c r="O26" i="40"/>
  <c r="O26" i="50"/>
  <c r="O26" i="45"/>
  <c r="O26" i="41"/>
  <c r="O26" i="48"/>
  <c r="O26" i="47"/>
  <c r="O15" i="38"/>
  <c r="O15" i="47"/>
  <c r="O15" i="49"/>
  <c r="O15" i="50"/>
  <c r="O15" i="41"/>
  <c r="O15" i="45"/>
  <c r="O15" i="48"/>
  <c r="O15" i="43"/>
  <c r="DF215" i="37"/>
  <c r="O15" i="46"/>
  <c r="O15" i="39"/>
  <c r="O15" i="44"/>
  <c r="O15" i="40"/>
  <c r="O25" i="48"/>
  <c r="O25" i="50"/>
  <c r="DF225" i="37"/>
  <c r="O25" i="39"/>
  <c r="O25" i="40"/>
  <c r="O25" i="45"/>
  <c r="O25" i="41"/>
  <c r="O25" i="47"/>
  <c r="O25" i="43"/>
  <c r="O25" i="49"/>
  <c r="O25" i="38"/>
  <c r="AA28" i="38" s="1"/>
  <c r="O25" i="46"/>
  <c r="O25" i="44"/>
  <c r="O22" i="45"/>
  <c r="O22" i="41"/>
  <c r="O22" i="44"/>
  <c r="O22" i="49"/>
  <c r="DF222" i="37"/>
  <c r="O22" i="46"/>
  <c r="O22" i="43"/>
  <c r="O22" i="47"/>
  <c r="O22" i="48"/>
  <c r="O22" i="39"/>
  <c r="O22" i="50"/>
  <c r="O22" i="40"/>
  <c r="O22" i="38"/>
  <c r="O13" i="38"/>
  <c r="O13" i="39"/>
  <c r="O13" i="40"/>
  <c r="O13" i="41"/>
  <c r="O13" i="46"/>
  <c r="O13" i="43"/>
  <c r="O13" i="45"/>
  <c r="O13" i="49"/>
  <c r="O13" i="48"/>
  <c r="O13" i="50"/>
  <c r="O13" i="47"/>
  <c r="DF213" i="37"/>
  <c r="O13" i="44"/>
  <c r="O18" i="38"/>
  <c r="O18" i="44"/>
  <c r="O18" i="40"/>
  <c r="DF218" i="37"/>
  <c r="O18" i="46"/>
  <c r="O18" i="45"/>
  <c r="O18" i="49"/>
  <c r="O18" i="50"/>
  <c r="O18" i="43"/>
  <c r="O18" i="47"/>
  <c r="O18" i="39"/>
  <c r="O18" i="41"/>
  <c r="O18" i="48"/>
  <c r="O16" i="38"/>
  <c r="O16" i="47"/>
  <c r="O16" i="46"/>
  <c r="O16" i="40"/>
  <c r="O16" i="43"/>
  <c r="DF216" i="37"/>
  <c r="O16" i="39"/>
  <c r="O16" i="45"/>
  <c r="O16" i="50"/>
  <c r="O16" i="49"/>
  <c r="O16" i="48"/>
  <c r="O16" i="44"/>
  <c r="O16" i="41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O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AQ20" i="37"/>
  <c r="AQ82" i="37" s="1"/>
  <c r="AO59" i="37"/>
  <c r="AP59" i="37" s="1"/>
  <c r="AN46" i="37"/>
  <c r="AL21" i="37" s="1"/>
  <c r="AO48" i="37"/>
  <c r="AP48" i="37" s="1"/>
  <c r="AO53" i="37"/>
  <c r="AP53" i="37" s="1"/>
  <c r="AO51" i="37"/>
  <c r="AP51" i="37" s="1"/>
  <c r="AO58" i="37"/>
  <c r="AP58" i="37" s="1"/>
  <c r="AO49" i="37"/>
  <c r="AP49" i="37" s="1"/>
  <c r="DF211" i="34"/>
  <c r="I11" i="36"/>
  <c r="I11" i="45"/>
  <c r="I11" i="38"/>
  <c r="I11" i="44"/>
  <c r="I32" i="34"/>
  <c r="I11" i="46"/>
  <c r="I11" i="40"/>
  <c r="I11" i="48"/>
  <c r="I11" i="49"/>
  <c r="I11" i="35"/>
  <c r="I11" i="37"/>
  <c r="I11" i="41"/>
  <c r="I11" i="50"/>
  <c r="I11" i="47"/>
  <c r="I11" i="39"/>
  <c r="I11" i="43"/>
  <c r="A11" i="34"/>
  <c r="DA218" i="34"/>
  <c r="A18" i="35"/>
  <c r="BI12" i="34"/>
  <c r="BN15" i="34"/>
  <c r="AA21" i="35"/>
  <c r="BJ12" i="35"/>
  <c r="DA222" i="34"/>
  <c r="BN19" i="34"/>
  <c r="BI16" i="34"/>
  <c r="A22" i="35"/>
  <c r="AA25" i="35"/>
  <c r="BJ16" i="35"/>
  <c r="DA220" i="34"/>
  <c r="A20" i="35"/>
  <c r="BN17" i="34"/>
  <c r="BI14" i="34"/>
  <c r="AA23" i="35"/>
  <c r="BJ14" i="35"/>
  <c r="DA212" i="34"/>
  <c r="BI6" i="34"/>
  <c r="A12" i="35"/>
  <c r="BN9" i="34"/>
  <c r="AA15" i="35"/>
  <c r="BJ6" i="35"/>
  <c r="DA225" i="34"/>
  <c r="BI19" i="34"/>
  <c r="BN22" i="34"/>
  <c r="A25" i="35"/>
  <c r="AE28" i="35"/>
  <c r="AF28" i="35" s="1"/>
  <c r="AG28" i="35" s="1"/>
  <c r="AC28" i="35"/>
  <c r="AK62" i="35"/>
  <c r="AL62" i="35" s="1"/>
  <c r="BO22" i="35"/>
  <c r="AA24" i="35"/>
  <c r="BJ15" i="35"/>
  <c r="DA224" i="34"/>
  <c r="A24" i="35"/>
  <c r="BN21" i="34"/>
  <c r="BI18" i="34"/>
  <c r="AE27" i="35"/>
  <c r="AF27" i="35" s="1"/>
  <c r="AG27" i="35" s="1"/>
  <c r="BO21" i="35"/>
  <c r="AK61" i="35"/>
  <c r="AL61" i="35" s="1"/>
  <c r="AC27" i="35"/>
  <c r="DA217" i="34"/>
  <c r="BN14" i="34"/>
  <c r="A17" i="35"/>
  <c r="BI11" i="34"/>
  <c r="AA20" i="35"/>
  <c r="BJ11" i="35"/>
  <c r="DA219" i="34"/>
  <c r="BI13" i="34"/>
  <c r="BN16" i="34"/>
  <c r="A19" i="35"/>
  <c r="AA22" i="35"/>
  <c r="BJ13" i="35"/>
  <c r="DA226" i="34"/>
  <c r="A26" i="35"/>
  <c r="BI20" i="34"/>
  <c r="BN23" i="34"/>
  <c r="AE29" i="35"/>
  <c r="AF29" i="35" s="1"/>
  <c r="AG29" i="35" s="1"/>
  <c r="BO23" i="35"/>
  <c r="AC29" i="35"/>
  <c r="AK63" i="35"/>
  <c r="AL63" i="35" s="1"/>
  <c r="DA216" i="34"/>
  <c r="BI10" i="34"/>
  <c r="BN13" i="34"/>
  <c r="A16" i="35"/>
  <c r="AA19" i="35"/>
  <c r="BJ10" i="35"/>
  <c r="DA214" i="34"/>
  <c r="BI8" i="34"/>
  <c r="BN11" i="34"/>
  <c r="A14" i="35"/>
  <c r="AA17" i="35"/>
  <c r="BJ8" i="35"/>
  <c r="DA227" i="34"/>
  <c r="BI21" i="34"/>
  <c r="A27" i="35"/>
  <c r="BN24" i="34"/>
  <c r="AE30" i="35"/>
  <c r="AF30" i="35" s="1"/>
  <c r="AG30" i="35" s="1"/>
  <c r="BO24" i="35"/>
  <c r="AC30" i="35"/>
  <c r="AK64" i="35"/>
  <c r="AL64" i="35" s="1"/>
  <c r="DA223" i="34"/>
  <c r="A23" i="35"/>
  <c r="BN20" i="34"/>
  <c r="BI17" i="34"/>
  <c r="AC26" i="35"/>
  <c r="AK60" i="35"/>
  <c r="AL60" i="35" s="1"/>
  <c r="BO20" i="35"/>
  <c r="AA18" i="35"/>
  <c r="BJ9" i="35"/>
  <c r="DA213" i="34"/>
  <c r="BI7" i="34"/>
  <c r="A13" i="35"/>
  <c r="BN10" i="34"/>
  <c r="AA16" i="35"/>
  <c r="BJ7" i="35"/>
  <c r="AP47" i="34"/>
  <c r="AQ57" i="34"/>
  <c r="AR57" i="34" s="1"/>
  <c r="AQ60" i="34"/>
  <c r="AR60" i="34" s="1"/>
  <c r="AQ58" i="34"/>
  <c r="AR58" i="34" s="1"/>
  <c r="AN21" i="34"/>
  <c r="AM21" i="34"/>
  <c r="AO20" i="34"/>
  <c r="AQ65" i="34"/>
  <c r="AR65" i="34" s="1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DA221" i="39"/>
  <c r="A21" i="40"/>
  <c r="BI15" i="39"/>
  <c r="BN18" i="39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R24" i="48"/>
  <c r="AR86" i="48" s="1"/>
  <c r="AQ24" i="48"/>
  <c r="AQ86" i="48" s="1"/>
  <c r="AW31" i="48"/>
  <c r="AT31" i="48" s="1"/>
  <c r="AU31" i="47"/>
  <c r="AV31" i="47" s="1"/>
  <c r="AM25" i="46"/>
  <c r="AW31" i="46" s="1"/>
  <c r="AT31" i="46" s="1"/>
  <c r="AN25" i="48"/>
  <c r="AQ25" i="48" s="1"/>
  <c r="AQ87" i="48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N25" i="45"/>
  <c r="AM25" i="45"/>
  <c r="AW31" i="45" s="1"/>
  <c r="AT31" i="45" s="1"/>
  <c r="AQ24" i="45"/>
  <c r="AQ86" i="45" s="1"/>
  <c r="AO24" i="45"/>
  <c r="AR24" i="45"/>
  <c r="AR86" i="45" s="1"/>
  <c r="AU31" i="44"/>
  <c r="AV31" i="44" s="1"/>
  <c r="AO86" i="44"/>
  <c r="AT86" i="44" s="1"/>
  <c r="AW32" i="44"/>
  <c r="AT32" i="44" s="1"/>
  <c r="AR25" i="44"/>
  <c r="AR87" i="44" s="1"/>
  <c r="AO25" i="44"/>
  <c r="A75" i="47"/>
  <c r="DA229" i="47" s="1"/>
  <c r="BI23" i="46"/>
  <c r="BN26" i="46"/>
  <c r="A29" i="46"/>
  <c r="BI22" i="46"/>
  <c r="BN25" i="46"/>
  <c r="A74" i="47"/>
  <c r="DA228" i="47" s="1"/>
  <c r="A28" i="46"/>
  <c r="A15" i="46"/>
  <c r="A61" i="47"/>
  <c r="DA215" i="47" s="1"/>
  <c r="BI9" i="46"/>
  <c r="BN12" i="46"/>
  <c r="BI24" i="46"/>
  <c r="A30" i="46"/>
  <c r="A76" i="47"/>
  <c r="DA230" i="47" s="1"/>
  <c r="BN27" i="46"/>
  <c r="AW47" i="43"/>
  <c r="AW46" i="43" s="1"/>
  <c r="AL25" i="43" s="1"/>
  <c r="AO23" i="36"/>
  <c r="AR23" i="36"/>
  <c r="AR85" i="36" s="1"/>
  <c r="AQ23" i="36"/>
  <c r="AQ85" i="36" s="1"/>
  <c r="AM24" i="36"/>
  <c r="AW30" i="36" s="1"/>
  <c r="AT30" i="36" s="1"/>
  <c r="AN24" i="36"/>
  <c r="AM24" i="43"/>
  <c r="AW30" i="43" s="1"/>
  <c r="AT30" i="43" s="1"/>
  <c r="AN24" i="43"/>
  <c r="AO25" i="46"/>
  <c r="AW32" i="46"/>
  <c r="AQ25" i="46"/>
  <c r="AQ87" i="46" s="1"/>
  <c r="AR25" i="46"/>
  <c r="AR87" i="46" s="1"/>
  <c r="AW47" i="36"/>
  <c r="AW46" i="36" s="1"/>
  <c r="AL25" i="36" s="1"/>
  <c r="AO23" i="43"/>
  <c r="AQ23" i="43"/>
  <c r="AQ85" i="43" s="1"/>
  <c r="AR23" i="43"/>
  <c r="AR85" i="43" s="1"/>
  <c r="AU31" i="46"/>
  <c r="AV31" i="46" s="1"/>
  <c r="AO86" i="46"/>
  <c r="AT86" i="46" s="1"/>
  <c r="O11" i="44" l="1"/>
  <c r="O11" i="40"/>
  <c r="O11" i="48"/>
  <c r="DF211" i="37"/>
  <c r="O11" i="49"/>
  <c r="O11" i="50"/>
  <c r="O11" i="43"/>
  <c r="O11" i="45"/>
  <c r="O11" i="39"/>
  <c r="O11" i="47"/>
  <c r="O11" i="46"/>
  <c r="O11" i="38"/>
  <c r="O11" i="41"/>
  <c r="O32" i="37"/>
  <c r="AA21" i="38"/>
  <c r="BJ12" i="38"/>
  <c r="AA16" i="38"/>
  <c r="BJ7" i="38"/>
  <c r="AA25" i="38"/>
  <c r="BJ16" i="38"/>
  <c r="AK62" i="38"/>
  <c r="AL62" i="38" s="1"/>
  <c r="BO22" i="38"/>
  <c r="AC28" i="38"/>
  <c r="AA18" i="38"/>
  <c r="BJ9" i="38"/>
  <c r="AC29" i="38"/>
  <c r="BO23" i="38"/>
  <c r="AK63" i="38"/>
  <c r="AL63" i="38" s="1"/>
  <c r="AA15" i="38"/>
  <c r="BJ6" i="38"/>
  <c r="AA24" i="38"/>
  <c r="BJ15" i="38"/>
  <c r="AK64" i="38"/>
  <c r="AL64" i="38" s="1"/>
  <c r="BO24" i="38"/>
  <c r="AC30" i="38"/>
  <c r="AA17" i="38"/>
  <c r="BJ8" i="38"/>
  <c r="AA22" i="38"/>
  <c r="BJ13" i="38"/>
  <c r="AA23" i="38"/>
  <c r="BJ14" i="38"/>
  <c r="AA20" i="38"/>
  <c r="BJ11" i="38"/>
  <c r="AC26" i="38"/>
  <c r="AK60" i="38"/>
  <c r="AL60" i="38" s="1"/>
  <c r="BO20" i="38"/>
  <c r="AC27" i="38"/>
  <c r="AK61" i="38"/>
  <c r="AL61" i="38" s="1"/>
  <c r="BO21" i="38"/>
  <c r="DF232" i="37"/>
  <c r="O32" i="48"/>
  <c r="O33" i="48" s="1"/>
  <c r="O32" i="43"/>
  <c r="O33" i="43" s="1"/>
  <c r="O32" i="38"/>
  <c r="O33" i="38" s="1"/>
  <c r="O32" i="45"/>
  <c r="O33" i="45" s="1"/>
  <c r="O32" i="50"/>
  <c r="O33" i="50" s="1"/>
  <c r="O32" i="49"/>
  <c r="O33" i="49" s="1"/>
  <c r="O32" i="39"/>
  <c r="O33" i="39" s="1"/>
  <c r="O32" i="44"/>
  <c r="O33" i="44" s="1"/>
  <c r="O32" i="41"/>
  <c r="O33" i="41" s="1"/>
  <c r="O32" i="47"/>
  <c r="O33" i="47" s="1"/>
  <c r="O32" i="40"/>
  <c r="O33" i="40" s="1"/>
  <c r="O32" i="46"/>
  <c r="O33" i="46" s="1"/>
  <c r="O33" i="37"/>
  <c r="AA19" i="38"/>
  <c r="BJ10" i="38"/>
  <c r="AP47" i="37"/>
  <c r="AQ48" i="37"/>
  <c r="AR48" i="37" s="1"/>
  <c r="AN21" i="37"/>
  <c r="AM21" i="37"/>
  <c r="AO20" i="37"/>
  <c r="AQ59" i="37"/>
  <c r="AR59" i="37" s="1"/>
  <c r="DE211" i="37"/>
  <c r="N11" i="46"/>
  <c r="N11" i="40"/>
  <c r="N11" i="44"/>
  <c r="N11" i="47"/>
  <c r="N11" i="38"/>
  <c r="N11" i="50"/>
  <c r="N11" i="41"/>
  <c r="N11" i="49"/>
  <c r="N11" i="48"/>
  <c r="N11" i="45"/>
  <c r="N11" i="39"/>
  <c r="N11" i="43"/>
  <c r="AE16" i="35"/>
  <c r="AF16" i="35" s="1"/>
  <c r="AG16" i="35" s="1"/>
  <c r="AK50" i="35"/>
  <c r="AL50" i="35" s="1"/>
  <c r="AC16" i="35"/>
  <c r="BO10" i="35"/>
  <c r="DA213" i="35"/>
  <c r="BN10" i="35"/>
  <c r="BI7" i="35"/>
  <c r="A13" i="36"/>
  <c r="AE18" i="35"/>
  <c r="AK52" i="35"/>
  <c r="AL52" i="35" s="1"/>
  <c r="AC18" i="35"/>
  <c r="BO12" i="35"/>
  <c r="DA223" i="35"/>
  <c r="BI17" i="35"/>
  <c r="A23" i="36"/>
  <c r="BN20" i="35"/>
  <c r="DA227" i="35"/>
  <c r="BI21" i="35"/>
  <c r="A27" i="36"/>
  <c r="BN24" i="35"/>
  <c r="AE17" i="35"/>
  <c r="AF17" i="35" s="1"/>
  <c r="AG17" i="35" s="1"/>
  <c r="AK51" i="35"/>
  <c r="AL51" i="35" s="1"/>
  <c r="BO11" i="35"/>
  <c r="AC17" i="35"/>
  <c r="DA214" i="35"/>
  <c r="BN11" i="35"/>
  <c r="BI8" i="35"/>
  <c r="A14" i="36"/>
  <c r="AC19" i="35"/>
  <c r="AE19" i="35"/>
  <c r="AF19" i="35" s="1"/>
  <c r="AG19" i="35" s="1"/>
  <c r="BO13" i="35"/>
  <c r="AK53" i="35"/>
  <c r="AL53" i="35" s="1"/>
  <c r="DA216" i="35"/>
  <c r="A16" i="36"/>
  <c r="BI10" i="35"/>
  <c r="BN13" i="35"/>
  <c r="DA226" i="35"/>
  <c r="BI20" i="35"/>
  <c r="BN23" i="35"/>
  <c r="A26" i="36"/>
  <c r="AK56" i="35"/>
  <c r="AL56" i="35" s="1"/>
  <c r="AC22" i="35"/>
  <c r="BO16" i="35"/>
  <c r="AE22" i="35"/>
  <c r="AF22" i="35" s="1"/>
  <c r="AG22" i="35" s="1"/>
  <c r="DA219" i="35"/>
  <c r="BI13" i="35"/>
  <c r="A19" i="36"/>
  <c r="BN16" i="35"/>
  <c r="AE20" i="35"/>
  <c r="AF20" i="35" s="1"/>
  <c r="AG20" i="35" s="1"/>
  <c r="AK54" i="35"/>
  <c r="AL54" i="35" s="1"/>
  <c r="AC20" i="35"/>
  <c r="BO14" i="35"/>
  <c r="DA217" i="35"/>
  <c r="BN14" i="35"/>
  <c r="BI11" i="35"/>
  <c r="A17" i="36"/>
  <c r="DA224" i="35"/>
  <c r="A24" i="36"/>
  <c r="BN21" i="35"/>
  <c r="BI18" i="35"/>
  <c r="AK58" i="35"/>
  <c r="AL58" i="35" s="1"/>
  <c r="BO18" i="35"/>
  <c r="AC24" i="35"/>
  <c r="AE24" i="35"/>
  <c r="AF24" i="35" s="1"/>
  <c r="AG24" i="35" s="1"/>
  <c r="DA225" i="35"/>
  <c r="A25" i="36"/>
  <c r="BN22" i="35"/>
  <c r="BI19" i="35"/>
  <c r="AK49" i="35"/>
  <c r="AL49" i="35" s="1"/>
  <c r="AC15" i="35"/>
  <c r="AE15" i="35"/>
  <c r="AF15" i="35" s="1"/>
  <c r="AG15" i="35" s="1"/>
  <c r="BO9" i="35"/>
  <c r="DA212" i="35"/>
  <c r="BI6" i="35"/>
  <c r="A12" i="36"/>
  <c r="BN9" i="35"/>
  <c r="AE23" i="35"/>
  <c r="AF23" i="35" s="1"/>
  <c r="AG23" i="35" s="1"/>
  <c r="AC23" i="35"/>
  <c r="AK57" i="35"/>
  <c r="AL57" i="35" s="1"/>
  <c r="BO17" i="35"/>
  <c r="DA220" i="35"/>
  <c r="BI14" i="35"/>
  <c r="A20" i="36"/>
  <c r="BN17" i="35"/>
  <c r="AE25" i="35"/>
  <c r="AF25" i="35" s="1"/>
  <c r="AG25" i="35" s="1"/>
  <c r="BO19" i="35"/>
  <c r="AK59" i="35"/>
  <c r="AL59" i="35" s="1"/>
  <c r="AC25" i="35"/>
  <c r="DA222" i="35"/>
  <c r="BN19" i="35"/>
  <c r="BI16" i="35"/>
  <c r="A22" i="36"/>
  <c r="AE21" i="35"/>
  <c r="AF21" i="35" s="1"/>
  <c r="AG21" i="35" s="1"/>
  <c r="AK55" i="35"/>
  <c r="AL55" i="35" s="1"/>
  <c r="AC21" i="35"/>
  <c r="BO15" i="35"/>
  <c r="DA218" i="35"/>
  <c r="BI12" i="35"/>
  <c r="A18" i="36"/>
  <c r="BN15" i="35"/>
  <c r="DA211" i="34"/>
  <c r="BN8" i="34"/>
  <c r="A11" i="35"/>
  <c r="BI5" i="34"/>
  <c r="AA14" i="35"/>
  <c r="BJ5" i="35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DA221" i="40"/>
  <c r="BN18" i="40"/>
  <c r="BI15" i="40"/>
  <c r="A21" i="41"/>
  <c r="AO82" i="34"/>
  <c r="AU27" i="34"/>
  <c r="AV27" i="34" s="1"/>
  <c r="AQ6" i="34"/>
  <c r="AR20" i="34"/>
  <c r="AR82" i="34" s="1"/>
  <c r="AW27" i="34"/>
  <c r="AT27" i="34" s="1"/>
  <c r="AQ21" i="34"/>
  <c r="AQ83" i="34" s="1"/>
  <c r="AO21" i="34"/>
  <c r="AR21" i="34"/>
  <c r="AR83" i="34" s="1"/>
  <c r="AQ52" i="34"/>
  <c r="AR52" i="34" s="1"/>
  <c r="AP46" i="34"/>
  <c r="AL22" i="34" s="1"/>
  <c r="AQ53" i="34"/>
  <c r="AR53" i="34" s="1"/>
  <c r="AQ54" i="34"/>
  <c r="AR54" i="34" s="1"/>
  <c r="AQ64" i="34"/>
  <c r="AR64" i="34" s="1"/>
  <c r="AQ51" i="34"/>
  <c r="AR51" i="34" s="1"/>
  <c r="AQ56" i="34"/>
  <c r="AR56" i="34" s="1"/>
  <c r="AQ63" i="34"/>
  <c r="AR63" i="34" s="1"/>
  <c r="AQ48" i="34"/>
  <c r="AR48" i="34" s="1"/>
  <c r="AQ61" i="34"/>
  <c r="AR61" i="34" s="1"/>
  <c r="AQ67" i="34"/>
  <c r="AR67" i="34" s="1"/>
  <c r="AQ55" i="34"/>
  <c r="AR55" i="34" s="1"/>
  <c r="AQ66" i="34"/>
  <c r="AR66" i="34" s="1"/>
  <c r="AQ62" i="34"/>
  <c r="AR62" i="34" s="1"/>
  <c r="AQ50" i="34"/>
  <c r="AR50" i="34" s="1"/>
  <c r="AQ59" i="34"/>
  <c r="AR59" i="34" s="1"/>
  <c r="AQ49" i="34"/>
  <c r="AR49" i="34" s="1"/>
  <c r="AR25" i="47"/>
  <c r="AR87" i="47" s="1"/>
  <c r="AO25" i="47"/>
  <c r="AU32" i="47" s="1"/>
  <c r="AV32" i="47" s="1"/>
  <c r="AV26" i="47" s="1"/>
  <c r="AW32" i="47"/>
  <c r="AT32" i="47"/>
  <c r="AU32" i="50"/>
  <c r="AV32" i="50" s="1"/>
  <c r="AV26" i="50" s="1"/>
  <c r="AO87" i="50"/>
  <c r="AT87" i="50" s="1"/>
  <c r="AT89" i="50" s="1"/>
  <c r="AQ9" i="50" s="1"/>
  <c r="AT86" i="48"/>
  <c r="AT32" i="46"/>
  <c r="AW32" i="48"/>
  <c r="AT32" i="48" s="1"/>
  <c r="AO25" i="48"/>
  <c r="AU32" i="48" s="1"/>
  <c r="AV32" i="48" s="1"/>
  <c r="AV26" i="48" s="1"/>
  <c r="AR25" i="48"/>
  <c r="AR87" i="48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O87" i="44"/>
  <c r="AT87" i="44" s="1"/>
  <c r="AT89" i="44" s="1"/>
  <c r="AQ9" i="44" s="1"/>
  <c r="AU32" i="44"/>
  <c r="AV32" i="44" s="1"/>
  <c r="AV26" i="44" s="1"/>
  <c r="A30" i="47"/>
  <c r="BN27" i="47"/>
  <c r="BI24" i="47"/>
  <c r="A76" i="48"/>
  <c r="DA230" i="48" s="1"/>
  <c r="BI22" i="47"/>
  <c r="A74" i="48"/>
  <c r="DA228" i="48" s="1"/>
  <c r="BN25" i="47"/>
  <c r="A28" i="47"/>
  <c r="A61" i="48"/>
  <c r="DA215" i="48" s="1"/>
  <c r="A15" i="47"/>
  <c r="BI9" i="47"/>
  <c r="BN12" i="47"/>
  <c r="BN26" i="47"/>
  <c r="A29" i="47"/>
  <c r="A75" i="48"/>
  <c r="DA229" i="48" s="1"/>
  <c r="BI23" i="47"/>
  <c r="AM25" i="36"/>
  <c r="AW31" i="36" s="1"/>
  <c r="AT31" i="36" s="1"/>
  <c r="AN25" i="36"/>
  <c r="AM25" i="43"/>
  <c r="AW31" i="43" s="1"/>
  <c r="AT31" i="43" s="1"/>
  <c r="AN25" i="43"/>
  <c r="AQ24" i="36"/>
  <c r="AQ86" i="36" s="1"/>
  <c r="AO24" i="36"/>
  <c r="AR24" i="36"/>
  <c r="AR86" i="36" s="1"/>
  <c r="AU30" i="43"/>
  <c r="AV30" i="43" s="1"/>
  <c r="AO85" i="43"/>
  <c r="AT85" i="43" s="1"/>
  <c r="AU30" i="36"/>
  <c r="AV30" i="36" s="1"/>
  <c r="AO85" i="36"/>
  <c r="AT85" i="36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AK54" i="38" l="1"/>
  <c r="AL54" i="38" s="1"/>
  <c r="AC20" i="38"/>
  <c r="AE20" i="38"/>
  <c r="AF20" i="38" s="1"/>
  <c r="AG20" i="38" s="1"/>
  <c r="BO14" i="38"/>
  <c r="AK57" i="38"/>
  <c r="AL57" i="38" s="1"/>
  <c r="AC23" i="38"/>
  <c r="AE23" i="38"/>
  <c r="AF23" i="38" s="1"/>
  <c r="AG23" i="38" s="1"/>
  <c r="BO17" i="38"/>
  <c r="AC22" i="38"/>
  <c r="AK56" i="38"/>
  <c r="AL56" i="38" s="1"/>
  <c r="AE22" i="38"/>
  <c r="AF22" i="38" s="1"/>
  <c r="AG22" i="38" s="1"/>
  <c r="BO16" i="38"/>
  <c r="AK51" i="38"/>
  <c r="AL51" i="38" s="1"/>
  <c r="AC17" i="38"/>
  <c r="AE17" i="38"/>
  <c r="AF17" i="38" s="1"/>
  <c r="AG17" i="38" s="1"/>
  <c r="BO11" i="38"/>
  <c r="AC24" i="38"/>
  <c r="AK58" i="38"/>
  <c r="AL58" i="38" s="1"/>
  <c r="AE24" i="38"/>
  <c r="AF24" i="38" s="1"/>
  <c r="AG24" i="38" s="1"/>
  <c r="BO18" i="38"/>
  <c r="AC15" i="38"/>
  <c r="AK49" i="38"/>
  <c r="AL49" i="38" s="1"/>
  <c r="AE15" i="38"/>
  <c r="AF15" i="38" s="1"/>
  <c r="AG15" i="38" s="1"/>
  <c r="BO9" i="38"/>
  <c r="AC18" i="38"/>
  <c r="AK52" i="38"/>
  <c r="AL52" i="38" s="1"/>
  <c r="AE18" i="38"/>
  <c r="AF18" i="38" s="1"/>
  <c r="AG18" i="38" s="1"/>
  <c r="BO12" i="38"/>
  <c r="AK59" i="38"/>
  <c r="AL59" i="38" s="1"/>
  <c r="AC25" i="38"/>
  <c r="AE25" i="38"/>
  <c r="AF25" i="38" s="1"/>
  <c r="AG25" i="38" s="1"/>
  <c r="BO19" i="38"/>
  <c r="AK50" i="38"/>
  <c r="AL50" i="38" s="1"/>
  <c r="AC16" i="38"/>
  <c r="AE16" i="38"/>
  <c r="AF16" i="38" s="1"/>
  <c r="AG16" i="38" s="1"/>
  <c r="BO10" i="38"/>
  <c r="AC21" i="38"/>
  <c r="AK55" i="38"/>
  <c r="AL55" i="38" s="1"/>
  <c r="AE21" i="38"/>
  <c r="AF21" i="38" s="1"/>
  <c r="AG21" i="38" s="1"/>
  <c r="BO15" i="38"/>
  <c r="AA14" i="38"/>
  <c r="BJ5" i="38"/>
  <c r="AC19" i="38"/>
  <c r="AK53" i="38"/>
  <c r="AL53" i="38" s="1"/>
  <c r="AE19" i="38"/>
  <c r="AF19" i="38" s="1"/>
  <c r="BO13" i="38"/>
  <c r="AO82" i="37"/>
  <c r="AU27" i="37"/>
  <c r="AV27" i="37" s="1"/>
  <c r="AQ6" i="37"/>
  <c r="AR20" i="37"/>
  <c r="AR82" i="37" s="1"/>
  <c r="AW27" i="37"/>
  <c r="AT27" i="37" s="1"/>
  <c r="AQ21" i="37"/>
  <c r="AQ83" i="37" s="1"/>
  <c r="AQ55" i="37"/>
  <c r="AR55" i="37" s="1"/>
  <c r="AP46" i="37"/>
  <c r="AL22" i="37" s="1"/>
  <c r="AO21" i="37" s="1"/>
  <c r="AQ67" i="37"/>
  <c r="AR67" i="37" s="1"/>
  <c r="AQ66" i="37"/>
  <c r="AR66" i="37" s="1"/>
  <c r="AQ65" i="37"/>
  <c r="AR65" i="37" s="1"/>
  <c r="AQ61" i="37"/>
  <c r="AR61" i="37" s="1"/>
  <c r="AQ63" i="37"/>
  <c r="AR63" i="37" s="1"/>
  <c r="AQ64" i="37"/>
  <c r="AR64" i="37" s="1"/>
  <c r="AQ62" i="37"/>
  <c r="AR62" i="37" s="1"/>
  <c r="AQ60" i="37"/>
  <c r="AR60" i="37" s="1"/>
  <c r="AQ50" i="37"/>
  <c r="AR50" i="37" s="1"/>
  <c r="AQ52" i="37"/>
  <c r="AR52" i="37" s="1"/>
  <c r="AQ57" i="37"/>
  <c r="AR57" i="37" s="1"/>
  <c r="AQ54" i="37"/>
  <c r="AR54" i="37" s="1"/>
  <c r="AQ56" i="37"/>
  <c r="AR56" i="37" s="1"/>
  <c r="AQ49" i="37"/>
  <c r="AR49" i="37" s="1"/>
  <c r="AQ58" i="37"/>
  <c r="AR58" i="37" s="1"/>
  <c r="AQ51" i="37"/>
  <c r="AR51" i="37" s="1"/>
  <c r="AQ53" i="37"/>
  <c r="AR53" i="37" s="1"/>
  <c r="AE14" i="35"/>
  <c r="AF14" i="35" s="1"/>
  <c r="AC14" i="35"/>
  <c r="AK48" i="35"/>
  <c r="AL48" i="35" s="1"/>
  <c r="BO8" i="35"/>
  <c r="DA211" i="35"/>
  <c r="BI5" i="35"/>
  <c r="A11" i="36"/>
  <c r="BN8" i="35"/>
  <c r="DA218" i="36"/>
  <c r="BI12" i="36"/>
  <c r="BN15" i="36"/>
  <c r="A18" i="37"/>
  <c r="DA222" i="36"/>
  <c r="BI16" i="36"/>
  <c r="BN19" i="36"/>
  <c r="A22" i="37"/>
  <c r="DA220" i="36"/>
  <c r="BI14" i="36"/>
  <c r="BN17" i="36"/>
  <c r="A20" i="37"/>
  <c r="DA212" i="36"/>
  <c r="BN9" i="36"/>
  <c r="BI6" i="36"/>
  <c r="A12" i="37"/>
  <c r="DA225" i="36"/>
  <c r="A25" i="37"/>
  <c r="BI19" i="36"/>
  <c r="BN22" i="36"/>
  <c r="DA224" i="36"/>
  <c r="A24" i="37"/>
  <c r="BI18" i="36"/>
  <c r="BN21" i="36"/>
  <c r="DA217" i="36"/>
  <c r="BN14" i="36"/>
  <c r="A17" i="37"/>
  <c r="BI11" i="36"/>
  <c r="DA219" i="36"/>
  <c r="A19" i="37"/>
  <c r="BN16" i="36"/>
  <c r="BI13" i="36"/>
  <c r="DA226" i="36"/>
  <c r="BN23" i="36"/>
  <c r="BI20" i="36"/>
  <c r="A26" i="37"/>
  <c r="DA216" i="36"/>
  <c r="BN13" i="36"/>
  <c r="BI10" i="36"/>
  <c r="A16" i="37"/>
  <c r="DA214" i="36"/>
  <c r="BI8" i="36"/>
  <c r="A14" i="37"/>
  <c r="BN11" i="36"/>
  <c r="DA227" i="36"/>
  <c r="BI21" i="36"/>
  <c r="BN24" i="36"/>
  <c r="A27" i="37"/>
  <c r="DA223" i="36"/>
  <c r="BN20" i="36"/>
  <c r="A23" i="37"/>
  <c r="BI17" i="36"/>
  <c r="AF18" i="35"/>
  <c r="AG18" i="35" s="1"/>
  <c r="DA213" i="36"/>
  <c r="A13" i="37"/>
  <c r="BI7" i="36"/>
  <c r="BN10" i="36"/>
  <c r="AR47" i="34"/>
  <c r="AT46" i="34"/>
  <c r="AU46" i="34" s="1"/>
  <c r="AT61" i="34"/>
  <c r="AU61" i="34" s="1"/>
  <c r="AT54" i="34"/>
  <c r="AU54" i="34" s="1"/>
  <c r="AT49" i="34"/>
  <c r="AU49" i="34" s="1"/>
  <c r="AT62" i="34"/>
  <c r="AU62" i="34" s="1"/>
  <c r="AT52" i="34"/>
  <c r="AU52" i="34" s="1"/>
  <c r="AT51" i="34"/>
  <c r="AU51" i="34" s="1"/>
  <c r="AN22" i="34"/>
  <c r="AM22" i="34"/>
  <c r="AW28" i="34" s="1"/>
  <c r="AT28" i="34" s="1"/>
  <c r="AT50" i="34"/>
  <c r="AU50" i="34" s="1"/>
  <c r="AO83" i="34"/>
  <c r="AT81" i="34" s="1"/>
  <c r="AU28" i="34"/>
  <c r="AV28" i="34" s="1"/>
  <c r="AT80" i="34"/>
  <c r="DA221" i="41"/>
  <c r="BI15" i="41"/>
  <c r="A67" i="43"/>
  <c r="BN18" i="41"/>
  <c r="AO87" i="47"/>
  <c r="AT87" i="47" s="1"/>
  <c r="AT89" i="47" s="1"/>
  <c r="AQ9" i="47" s="1"/>
  <c r="AO87" i="48"/>
  <c r="AT87" i="48" s="1"/>
  <c r="AT89" i="48" s="1"/>
  <c r="AQ9" i="48" s="1"/>
  <c r="AO87" i="49"/>
  <c r="AT87" i="49" s="1"/>
  <c r="AT89" i="49" s="1"/>
  <c r="AQ9" i="49" s="1"/>
  <c r="AV32" i="49"/>
  <c r="AV26" i="49" s="1"/>
  <c r="AO87" i="45"/>
  <c r="AT87" i="45" s="1"/>
  <c r="AT89" i="45" s="1"/>
  <c r="AQ9" i="45" s="1"/>
  <c r="AU32" i="45"/>
  <c r="AV32" i="45" s="1"/>
  <c r="AV26" i="45" s="1"/>
  <c r="BI23" i="48"/>
  <c r="BN26" i="48"/>
  <c r="A29" i="48"/>
  <c r="A75" i="49"/>
  <c r="DA229" i="49" s="1"/>
  <c r="BI24" i="48"/>
  <c r="A30" i="48"/>
  <c r="A76" i="49"/>
  <c r="DA230" i="49" s="1"/>
  <c r="BN27" i="48"/>
  <c r="A61" i="49"/>
  <c r="DA215" i="49" s="1"/>
  <c r="BN12" i="48"/>
  <c r="A15" i="48"/>
  <c r="BI9" i="48"/>
  <c r="A74" i="49"/>
  <c r="DA228" i="49" s="1"/>
  <c r="BN25" i="48"/>
  <c r="A28" i="48"/>
  <c r="BI22" i="48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AC14" i="38" l="1"/>
  <c r="AK48" i="38"/>
  <c r="AL48" i="38" s="1"/>
  <c r="BO8" i="38"/>
  <c r="AE14" i="38"/>
  <c r="AF14" i="38" s="1"/>
  <c r="AG14" i="38" s="1"/>
  <c r="AG19" i="38"/>
  <c r="AG2" i="38"/>
  <c r="AG3" i="38"/>
  <c r="BC12" i="38" s="1"/>
  <c r="AL47" i="38"/>
  <c r="AM53" i="38"/>
  <c r="AN53" i="38" s="1"/>
  <c r="AR47" i="37"/>
  <c r="AT56" i="37"/>
  <c r="AU56" i="37" s="1"/>
  <c r="AT54" i="37"/>
  <c r="AU54" i="37" s="1"/>
  <c r="AT57" i="37"/>
  <c r="AU57" i="37" s="1"/>
  <c r="AT52" i="37"/>
  <c r="AU52" i="37" s="1"/>
  <c r="AT50" i="37"/>
  <c r="AU50" i="37" s="1"/>
  <c r="AT60" i="37"/>
  <c r="AU60" i="37" s="1"/>
  <c r="AT62" i="37"/>
  <c r="AU62" i="37" s="1"/>
  <c r="AT64" i="37"/>
  <c r="AU64" i="37" s="1"/>
  <c r="AT63" i="37"/>
  <c r="AU63" i="37" s="1"/>
  <c r="AT61" i="37"/>
  <c r="AU61" i="37" s="1"/>
  <c r="AT65" i="37"/>
  <c r="AU65" i="37" s="1"/>
  <c r="AT66" i="37"/>
  <c r="AU66" i="37" s="1"/>
  <c r="AT67" i="37"/>
  <c r="AU67" i="37" s="1"/>
  <c r="AN22" i="37"/>
  <c r="AM22" i="37"/>
  <c r="AT55" i="37"/>
  <c r="AU55" i="37" s="1"/>
  <c r="AO83" i="37"/>
  <c r="AU28" i="37"/>
  <c r="AV28" i="37" s="1"/>
  <c r="AT82" i="37"/>
  <c r="DA213" i="37"/>
  <c r="BI7" i="37"/>
  <c r="A13" i="38"/>
  <c r="BN10" i="37"/>
  <c r="DA223" i="37"/>
  <c r="BI17" i="37"/>
  <c r="BN20" i="37"/>
  <c r="DA227" i="37"/>
  <c r="BN24" i="37"/>
  <c r="BI21" i="37"/>
  <c r="DA214" i="37"/>
  <c r="BI8" i="37"/>
  <c r="BN11" i="37"/>
  <c r="DA216" i="37"/>
  <c r="A16" i="38"/>
  <c r="BI10" i="37"/>
  <c r="BN13" i="37"/>
  <c r="DA226" i="37"/>
  <c r="BN23" i="37"/>
  <c r="BI20" i="37"/>
  <c r="DA219" i="37"/>
  <c r="BN16" i="37"/>
  <c r="BI13" i="37"/>
  <c r="DA217" i="37"/>
  <c r="BI11" i="37"/>
  <c r="BN14" i="37"/>
  <c r="DA224" i="37"/>
  <c r="BI18" i="37"/>
  <c r="BN21" i="37"/>
  <c r="DA225" i="37"/>
  <c r="BN22" i="37"/>
  <c r="BI19" i="37"/>
  <c r="DA212" i="37"/>
  <c r="BI6" i="37"/>
  <c r="BN9" i="37"/>
  <c r="DA220" i="37"/>
  <c r="BN17" i="37"/>
  <c r="BI14" i="37"/>
  <c r="DA222" i="37"/>
  <c r="BN19" i="37"/>
  <c r="BI16" i="37"/>
  <c r="A22" i="38"/>
  <c r="DA218" i="37"/>
  <c r="A18" i="38"/>
  <c r="BI12" i="37"/>
  <c r="BN15" i="37"/>
  <c r="DA211" i="36"/>
  <c r="BI5" i="36"/>
  <c r="A11" i="37"/>
  <c r="BN8" i="36"/>
  <c r="AL47" i="35"/>
  <c r="AM48" i="35"/>
  <c r="AN48" i="35" s="1"/>
  <c r="AG14" i="35"/>
  <c r="AG2" i="35"/>
  <c r="AC43" i="35" s="1"/>
  <c r="AG3" i="35"/>
  <c r="BC12" i="35" s="1"/>
  <c r="DA221" i="43"/>
  <c r="BN18" i="43"/>
  <c r="A67" i="44"/>
  <c r="BI15" i="43"/>
  <c r="AO22" i="34"/>
  <c r="AQ22" i="34"/>
  <c r="AQ84" i="34" s="1"/>
  <c r="AR22" i="34"/>
  <c r="AR84" i="34" s="1"/>
  <c r="AT65" i="34"/>
  <c r="AU65" i="34" s="1"/>
  <c r="AR46" i="34"/>
  <c r="AL23" i="34" s="1"/>
  <c r="AT63" i="34"/>
  <c r="AU63" i="34" s="1"/>
  <c r="AT56" i="34"/>
  <c r="AU56" i="34" s="1"/>
  <c r="AT58" i="34"/>
  <c r="AU58" i="34" s="1"/>
  <c r="AT55" i="34"/>
  <c r="AU55" i="34" s="1"/>
  <c r="AT47" i="34"/>
  <c r="AU47" i="34" s="1"/>
  <c r="AT57" i="34"/>
  <c r="AU57" i="34" s="1"/>
  <c r="AT48" i="34"/>
  <c r="AU48" i="34" s="1"/>
  <c r="AT60" i="34"/>
  <c r="AU60" i="34" s="1"/>
  <c r="AT64" i="34"/>
  <c r="AU64" i="34" s="1"/>
  <c r="AT53" i="34"/>
  <c r="AU53" i="34" s="1"/>
  <c r="AT59" i="34"/>
  <c r="AU59" i="34" s="1"/>
  <c r="BN26" i="49"/>
  <c r="A29" i="49"/>
  <c r="BI23" i="49"/>
  <c r="A75" i="50"/>
  <c r="DA229" i="50" s="1"/>
  <c r="BN25" i="49"/>
  <c r="BI22" i="49"/>
  <c r="A74" i="50"/>
  <c r="DA228" i="50" s="1"/>
  <c r="A28" i="49"/>
  <c r="BN12" i="49"/>
  <c r="A61" i="50"/>
  <c r="DA215" i="50" s="1"/>
  <c r="BI9" i="49"/>
  <c r="A15" i="49"/>
  <c r="BI24" i="49"/>
  <c r="A76" i="50"/>
  <c r="DA230" i="50" s="1"/>
  <c r="BN27" i="49"/>
  <c r="A30" i="49"/>
  <c r="AO87" i="43"/>
  <c r="AT87" i="43" s="1"/>
  <c r="AT89" i="43" s="1"/>
  <c r="AQ9" i="43" s="1"/>
  <c r="AU32" i="43"/>
  <c r="AV32" i="43" s="1"/>
  <c r="AV26" i="43" s="1"/>
  <c r="AU32" i="36"/>
  <c r="AV32" i="36" s="1"/>
  <c r="AV26" i="36" s="1"/>
  <c r="AO87" i="36"/>
  <c r="AT87" i="36" s="1"/>
  <c r="AT89" i="36" s="1"/>
  <c r="AQ9" i="36" s="1"/>
  <c r="AM48" i="38" l="1"/>
  <c r="AN48" i="38" s="1"/>
  <c r="AM60" i="38"/>
  <c r="AN60" i="38" s="1"/>
  <c r="AM51" i="38"/>
  <c r="AN51" i="38" s="1"/>
  <c r="AM55" i="38"/>
  <c r="AN55" i="38" s="1"/>
  <c r="AM54" i="38"/>
  <c r="AN54" i="38" s="1"/>
  <c r="AM65" i="38"/>
  <c r="AN65" i="38" s="1"/>
  <c r="AM57" i="38"/>
  <c r="AN57" i="38" s="1"/>
  <c r="AL46" i="38"/>
  <c r="AL20" i="38" s="1"/>
  <c r="AN20" i="38" s="1"/>
  <c r="AM62" i="38"/>
  <c r="AN62" i="38" s="1"/>
  <c r="AM66" i="38"/>
  <c r="AN66" i="38" s="1"/>
  <c r="AM58" i="38"/>
  <c r="AN58" i="38" s="1"/>
  <c r="AM50" i="38"/>
  <c r="AN50" i="38" s="1"/>
  <c r="AM56" i="38"/>
  <c r="AN56" i="38" s="1"/>
  <c r="AM64" i="38"/>
  <c r="AN64" i="38" s="1"/>
  <c r="AM61" i="38"/>
  <c r="AN61" i="38" s="1"/>
  <c r="AM63" i="38"/>
  <c r="AN63" i="38" s="1"/>
  <c r="AM67" i="38"/>
  <c r="AN67" i="38" s="1"/>
  <c r="AM59" i="38"/>
  <c r="AN59" i="38" s="1"/>
  <c r="AM49" i="38"/>
  <c r="AN49" i="38" s="1"/>
  <c r="AM52" i="38"/>
  <c r="AN52" i="38" s="1"/>
  <c r="BC25" i="38"/>
  <c r="BC23" i="38"/>
  <c r="BC24" i="38"/>
  <c r="BC29" i="38"/>
  <c r="BG20" i="38" s="1"/>
  <c r="BK64" i="38" s="1"/>
  <c r="P26" i="38" s="1"/>
  <c r="Q26" i="38" s="1"/>
  <c r="AC43" i="38"/>
  <c r="AW28" i="37"/>
  <c r="AT28" i="37" s="1"/>
  <c r="AR21" i="37"/>
  <c r="AR83" i="37" s="1"/>
  <c r="AT83" i="37" s="1"/>
  <c r="AR22" i="37"/>
  <c r="AR84" i="37" s="1"/>
  <c r="AQ22" i="37"/>
  <c r="AQ84" i="37" s="1"/>
  <c r="AO22" i="37"/>
  <c r="AR46" i="37"/>
  <c r="AL23" i="37" s="1"/>
  <c r="AT59" i="37"/>
  <c r="AU59" i="37" s="1"/>
  <c r="AT48" i="37"/>
  <c r="AU48" i="37" s="1"/>
  <c r="AT53" i="37"/>
  <c r="AU53" i="37" s="1"/>
  <c r="AT51" i="37"/>
  <c r="AU51" i="37" s="1"/>
  <c r="AT58" i="37"/>
  <c r="AU58" i="37" s="1"/>
  <c r="AT49" i="37"/>
  <c r="AU49" i="37" s="1"/>
  <c r="BC29" i="35"/>
  <c r="BC24" i="35"/>
  <c r="BC25" i="35"/>
  <c r="BC23" i="35"/>
  <c r="AM59" i="35"/>
  <c r="AN59" i="35" s="1"/>
  <c r="AM65" i="35"/>
  <c r="AN65" i="35" s="1"/>
  <c r="AM67" i="35"/>
  <c r="AN67" i="35" s="1"/>
  <c r="AL46" i="35"/>
  <c r="AL20" i="35" s="1"/>
  <c r="AM66" i="35"/>
  <c r="AN66" i="35" s="1"/>
  <c r="AM60" i="35"/>
  <c r="AN60" i="35" s="1"/>
  <c r="AM64" i="35"/>
  <c r="AN64" i="35" s="1"/>
  <c r="AM63" i="35"/>
  <c r="AN63" i="35" s="1"/>
  <c r="AM61" i="35"/>
  <c r="AN61" i="35" s="1"/>
  <c r="AM62" i="35"/>
  <c r="AN62" i="35" s="1"/>
  <c r="AM55" i="35"/>
  <c r="AN55" i="35" s="1"/>
  <c r="AM57" i="35"/>
  <c r="AN57" i="35" s="1"/>
  <c r="AM49" i="35"/>
  <c r="AN49" i="35" s="1"/>
  <c r="AM58" i="35"/>
  <c r="AN58" i="35" s="1"/>
  <c r="AM54" i="35"/>
  <c r="AN54" i="35" s="1"/>
  <c r="AM56" i="35"/>
  <c r="AN56" i="35" s="1"/>
  <c r="AM53" i="35"/>
  <c r="AN53" i="35" s="1"/>
  <c r="AM51" i="35"/>
  <c r="AN51" i="35" s="1"/>
  <c r="AM52" i="35"/>
  <c r="AN52" i="35" s="1"/>
  <c r="AM50" i="35"/>
  <c r="AN50" i="35" s="1"/>
  <c r="DA211" i="37"/>
  <c r="BN8" i="37"/>
  <c r="BI5" i="37"/>
  <c r="DA218" i="38"/>
  <c r="BI12" i="38"/>
  <c r="A18" i="39"/>
  <c r="BN15" i="38"/>
  <c r="DA222" i="38"/>
  <c r="BI16" i="38"/>
  <c r="A22" i="39"/>
  <c r="BN19" i="38"/>
  <c r="DA216" i="38"/>
  <c r="BN13" i="38"/>
  <c r="BI10" i="38"/>
  <c r="A16" i="39"/>
  <c r="DA213" i="38"/>
  <c r="BN10" i="38"/>
  <c r="A13" i="39"/>
  <c r="BI7" i="38"/>
  <c r="AU45" i="34"/>
  <c r="AV55" i="34"/>
  <c r="AW55" i="34" s="1"/>
  <c r="AV58" i="34"/>
  <c r="AW58" i="34" s="1"/>
  <c r="AV56" i="34"/>
  <c r="AW56" i="34" s="1"/>
  <c r="AV63" i="34"/>
  <c r="AW63" i="34" s="1"/>
  <c r="AN23" i="34"/>
  <c r="AM23" i="34"/>
  <c r="AW29" i="34" s="1"/>
  <c r="AT29" i="34" s="1"/>
  <c r="AV65" i="34"/>
  <c r="AW65" i="34" s="1"/>
  <c r="AO84" i="34"/>
  <c r="AT82" i="34" s="1"/>
  <c r="AU29" i="34"/>
  <c r="AV29" i="34" s="1"/>
  <c r="DA221" i="44"/>
  <c r="BN18" i="44"/>
  <c r="A67" i="45"/>
  <c r="BI15" i="44"/>
  <c r="A21" i="44"/>
  <c r="BN25" i="50"/>
  <c r="BI22" i="50"/>
  <c r="A28" i="50"/>
  <c r="BN26" i="50"/>
  <c r="BI23" i="50"/>
  <c r="A29" i="50"/>
  <c r="A15" i="50"/>
  <c r="BN12" i="50"/>
  <c r="BI9" i="50"/>
  <c r="BN27" i="50"/>
  <c r="BI24" i="50"/>
  <c r="A30" i="50"/>
  <c r="Z44" i="47" a="1"/>
  <c r="Z44" i="43" a="1"/>
  <c r="Z44" i="48" a="1"/>
  <c r="Z44" i="44" a="1"/>
  <c r="Z44" i="49" a="1"/>
  <c r="Z44" i="50" a="1"/>
  <c r="Z44" i="46" a="1"/>
  <c r="Z44" i="45" a="1"/>
  <c r="Z44" i="35" a="1"/>
  <c r="Z44" i="24" a="1"/>
  <c r="Z44" i="36" a="1"/>
  <c r="Z44" i="38" a="1"/>
  <c r="Z44" i="37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37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38"/>
  <c r="AC44" i="24"/>
  <c r="AC44" i="47"/>
  <c r="AC44" i="46"/>
  <c r="AC44" i="48"/>
  <c r="AC44" i="45"/>
  <c r="AC44" i="49"/>
  <c r="AC44" i="44"/>
  <c r="AC44" i="35"/>
  <c r="AC44" i="36"/>
  <c r="AC44" i="37"/>
  <c r="AC45" i="37"/>
  <c r="AE44" i="37"/>
  <c r="AC45" i="35"/>
  <c r="AE44" i="35"/>
  <c r="AE44" i="24"/>
  <c r="AC45" i="24"/>
  <c r="AE44" i="44"/>
  <c r="AC45" i="44"/>
  <c r="AE44" i="38"/>
  <c r="AC45" i="38"/>
  <c r="AC45" i="36"/>
  <c r="AE44" i="36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3"/>
  <c r="AC44" i="34"/>
  <c r="AC45" i="43"/>
  <c r="AE44" i="43"/>
  <c r="AC46" i="38"/>
  <c r="AE45" i="38"/>
  <c r="AC46" i="44"/>
  <c r="AE45" i="44"/>
  <c r="AC46" i="35"/>
  <c r="AE45" i="35"/>
  <c r="AE44" i="34"/>
  <c r="AC45" i="34"/>
  <c r="AE45" i="24"/>
  <c r="AC46" i="24"/>
  <c r="AC46" i="36"/>
  <c r="AE45" i="36"/>
  <c r="AE45" i="37"/>
  <c r="AC46" i="37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C47" i="36"/>
  <c r="AE46" i="36"/>
  <c r="AE46" i="35"/>
  <c r="AC47" i="35"/>
  <c r="AC47" i="38"/>
  <c r="AE46" i="38"/>
  <c r="AE46" i="37"/>
  <c r="AC47" i="37"/>
  <c r="AC47" i="24"/>
  <c r="AE46" i="24"/>
  <c r="AE45" i="34"/>
  <c r="AC46" i="34"/>
  <c r="AE46" i="44"/>
  <c r="AC47" i="44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8"/>
  <c r="AC48" i="38"/>
  <c r="AE47" i="36"/>
  <c r="AC48" i="36"/>
  <c r="AE46" i="34"/>
  <c r="AC47" i="34"/>
  <c r="AE47" i="37"/>
  <c r="AC48" i="37"/>
  <c r="AC48" i="35"/>
  <c r="AE47" i="35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7"/>
  <c r="AE48" i="37"/>
  <c r="AC49" i="38"/>
  <c r="AE48" i="38"/>
  <c r="AE48" i="44"/>
  <c r="AC49" i="44"/>
  <c r="AE48" i="35"/>
  <c r="AC49" i="35"/>
  <c r="AE47" i="34"/>
  <c r="AC48" i="34"/>
  <c r="AC49" i="36"/>
  <c r="AE48" i="36"/>
  <c r="AC49" i="24"/>
  <c r="AE48" i="24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E49" i="44"/>
  <c r="AC50" i="44"/>
  <c r="AE49" i="36"/>
  <c r="AC50" i="36"/>
  <c r="AE48" i="43"/>
  <c r="AC49" i="43"/>
  <c r="AC49" i="34"/>
  <c r="AE48" i="34"/>
  <c r="AC50" i="35"/>
  <c r="AE49" i="35"/>
  <c r="AC50" i="24"/>
  <c r="AE49" i="24"/>
  <c r="AE49" i="38"/>
  <c r="AC50" i="38"/>
  <c r="AC50" i="37"/>
  <c r="AE49" i="37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1" i="38"/>
  <c r="AE50" i="38"/>
  <c r="AC50" i="43"/>
  <c r="AE49" i="43"/>
  <c r="AC51" i="44"/>
  <c r="AE50" i="44"/>
  <c r="AE50" i="35"/>
  <c r="AC51" i="35"/>
  <c r="AC51" i="36"/>
  <c r="AE50" i="36"/>
  <c r="AC51" i="37"/>
  <c r="AE50" i="37"/>
  <c r="AC51" i="24"/>
  <c r="AE50" i="24"/>
  <c r="AE49" i="34"/>
  <c r="AC50" i="34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5"/>
  <c r="AE51" i="35"/>
  <c r="AC52" i="24"/>
  <c r="AE51" i="24"/>
  <c r="AE51" i="36"/>
  <c r="AC52" i="36"/>
  <c r="AE50" i="43"/>
  <c r="AC51" i="43"/>
  <c r="AE50" i="34"/>
  <c r="AC51" i="34"/>
  <c r="AC52" i="37"/>
  <c r="AE51" i="37"/>
  <c r="AE51" i="44"/>
  <c r="AC52" i="44"/>
  <c r="AC52" i="38"/>
  <c r="AE51" i="38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C53" i="36"/>
  <c r="AE52" i="36"/>
  <c r="AE51" i="34"/>
  <c r="AC52" i="34"/>
  <c r="AC52" i="43"/>
  <c r="AE51" i="43"/>
  <c r="AC53" i="38"/>
  <c r="AE52" i="38"/>
  <c r="AC53" i="37"/>
  <c r="AE52" i="37"/>
  <c r="AC53" i="24"/>
  <c r="AE52" i="24"/>
  <c r="AE52" i="35"/>
  <c r="AC53" i="35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C54" i="24"/>
  <c r="AE53" i="24"/>
  <c r="AE53" i="38"/>
  <c r="AC54" i="38"/>
  <c r="AC54" i="36"/>
  <c r="AE53" i="36"/>
  <c r="AC54" i="35"/>
  <c r="AE53" i="35"/>
  <c r="AE53" i="44"/>
  <c r="AC54" i="44"/>
  <c r="AC54" i="37"/>
  <c r="AE53" i="37"/>
  <c r="AE52" i="43"/>
  <c r="AC53" i="43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C55" i="38"/>
  <c r="AE54" i="38"/>
  <c r="AE54" i="37"/>
  <c r="AC55" i="37"/>
  <c r="AC55" i="35"/>
  <c r="AE54" i="35"/>
  <c r="AE53" i="43"/>
  <c r="AC54" i="43"/>
  <c r="AC55" i="44"/>
  <c r="AE54" i="44"/>
  <c r="AE54" i="36"/>
  <c r="AC55" i="36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E55" i="37"/>
  <c r="AC56" i="37"/>
  <c r="AE55" i="24"/>
  <c r="AC56" i="24"/>
  <c r="AE55" i="44"/>
  <c r="AC56" i="44"/>
  <c r="AC55" i="34"/>
  <c r="AE54" i="34"/>
  <c r="AE55" i="36"/>
  <c r="AC56" i="36"/>
  <c r="AE54" i="43"/>
  <c r="AC55" i="43"/>
  <c r="AC56" i="35"/>
  <c r="AE55" i="35"/>
  <c r="AC56" i="38"/>
  <c r="AE55" i="38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5" i="34"/>
  <c r="AC56" i="34"/>
  <c r="AC57" i="36"/>
  <c r="AE56" i="36"/>
  <c r="AC57" i="24"/>
  <c r="AE56" i="24"/>
  <c r="AE56" i="37"/>
  <c r="AC57" i="37"/>
  <c r="AC57" i="38"/>
  <c r="AE56" i="38"/>
  <c r="AE56" i="35"/>
  <c r="AC57" i="35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8" i="35"/>
  <c r="AE57" i="35"/>
  <c r="AC58" i="37"/>
  <c r="AE57" i="37"/>
  <c r="AC57" i="34"/>
  <c r="AE56" i="34"/>
  <c r="AE57" i="44"/>
  <c r="AC58" i="44"/>
  <c r="AE57" i="36"/>
  <c r="AC58" i="36"/>
  <c r="AE57" i="38"/>
  <c r="AC58" i="38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C59" i="44"/>
  <c r="AE58" i="44"/>
  <c r="AC59" i="24"/>
  <c r="AE58" i="24"/>
  <c r="AE58" i="37"/>
  <c r="AC59" i="37"/>
  <c r="AC58" i="43"/>
  <c r="AE57" i="43"/>
  <c r="AC59" i="38"/>
  <c r="AE58" i="38"/>
  <c r="AC59" i="36"/>
  <c r="AE58" i="36"/>
  <c r="AE57" i="34"/>
  <c r="AC58" i="34"/>
  <c r="AE58" i="35"/>
  <c r="AC59" i="35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E59" i="36"/>
  <c r="AC60" i="36"/>
  <c r="AE58" i="43"/>
  <c r="AC59" i="43"/>
  <c r="AC60" i="44"/>
  <c r="AE59" i="44"/>
  <c r="AE59" i="35"/>
  <c r="AC60" i="35"/>
  <c r="AC60" i="37"/>
  <c r="AE59" i="37"/>
  <c r="AC60" i="38"/>
  <c r="AE59" i="38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C61" i="35"/>
  <c r="AE60" i="35"/>
  <c r="AE59" i="43"/>
  <c r="AC60" i="43"/>
  <c r="AC61" i="38"/>
  <c r="AE60" i="38"/>
  <c r="AE60" i="37"/>
  <c r="AC61" i="37"/>
  <c r="AC61" i="36"/>
  <c r="AE60" i="36"/>
  <c r="AE60" i="24"/>
  <c r="AC61" i="24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2" i="37"/>
  <c r="AE61" i="37"/>
  <c r="AC61" i="43"/>
  <c r="AE60" i="43"/>
  <c r="AC61" i="34"/>
  <c r="AE60" i="34"/>
  <c r="AE61" i="36"/>
  <c r="AC62" i="36"/>
  <c r="AE61" i="38"/>
  <c r="AC62" i="38"/>
  <c r="AC62" i="35"/>
  <c r="AE61" i="35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38"/>
  <c r="AE63" i="38"/>
  <c r="AE62" i="38"/>
  <c r="AE61" i="43"/>
  <c r="AC62" i="43"/>
  <c r="AE62" i="24"/>
  <c r="AC63" i="24"/>
  <c r="AE63" i="24"/>
  <c r="AE62" i="36"/>
  <c r="AC63" i="36"/>
  <c r="AE63" i="36"/>
  <c r="AE62" i="44"/>
  <c r="AC63" i="44"/>
  <c r="AE63" i="44"/>
  <c r="AE62" i="35"/>
  <c r="AC63" i="35"/>
  <c r="AE63" i="35"/>
  <c r="AE61" i="34"/>
  <c r="AC62" i="34"/>
  <c r="AE62" i="37"/>
  <c r="AC63" i="37"/>
  <c r="AE63" i="37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Q26" i="41" l="1"/>
  <c r="DF226" i="38"/>
  <c r="Q26" i="46"/>
  <c r="Q26" i="49"/>
  <c r="Q26" i="50"/>
  <c r="Q26" i="45"/>
  <c r="Q26" i="40"/>
  <c r="Q26" i="44"/>
  <c r="Q26" i="43"/>
  <c r="Q26" i="39"/>
  <c r="AA29" i="39" s="1"/>
  <c r="Q26" i="48"/>
  <c r="Q26" i="47"/>
  <c r="A26" i="38"/>
  <c r="P26" i="45"/>
  <c r="P26" i="39"/>
  <c r="P26" i="40"/>
  <c r="P26" i="44"/>
  <c r="DE226" i="38"/>
  <c r="P26" i="49"/>
  <c r="P26" i="41"/>
  <c r="P26" i="46"/>
  <c r="P26" i="47"/>
  <c r="P26" i="48"/>
  <c r="P26" i="50"/>
  <c r="P26" i="43"/>
  <c r="BG24" i="38"/>
  <c r="BK68" i="38" s="1"/>
  <c r="BG19" i="38"/>
  <c r="BK63" i="38" s="1"/>
  <c r="P25" i="38" s="1"/>
  <c r="Q25" i="38" s="1"/>
  <c r="BG5" i="38"/>
  <c r="BG18" i="38"/>
  <c r="BK62" i="38" s="1"/>
  <c r="P24" i="38" s="1"/>
  <c r="Q24" i="38" s="1"/>
  <c r="BG22" i="38"/>
  <c r="BK66" i="38" s="1"/>
  <c r="BG11" i="38"/>
  <c r="BK55" i="38" s="1"/>
  <c r="P17" i="38" s="1"/>
  <c r="Q17" i="38" s="1"/>
  <c r="BG7" i="38"/>
  <c r="BK51" i="38" s="1"/>
  <c r="P13" i="38" s="1"/>
  <c r="Q13" i="38" s="1"/>
  <c r="BG12" i="38"/>
  <c r="BK56" i="38" s="1"/>
  <c r="P18" i="38" s="1"/>
  <c r="Q18" i="38" s="1"/>
  <c r="BG17" i="38"/>
  <c r="BK61" i="38" s="1"/>
  <c r="P23" i="38" s="1"/>
  <c r="Q23" i="38" s="1"/>
  <c r="BG13" i="38"/>
  <c r="BK57" i="38" s="1"/>
  <c r="P19" i="38" s="1"/>
  <c r="Q19" i="38" s="1"/>
  <c r="BG14" i="38"/>
  <c r="BK58" i="38" s="1"/>
  <c r="P20" i="38" s="1"/>
  <c r="Q20" i="38" s="1"/>
  <c r="BG16" i="38"/>
  <c r="BK60" i="38" s="1"/>
  <c r="P22" i="38" s="1"/>
  <c r="Q22" i="38" s="1"/>
  <c r="BG9" i="38"/>
  <c r="BK53" i="38" s="1"/>
  <c r="P15" i="38" s="1"/>
  <c r="Q15" i="38" s="1"/>
  <c r="BG21" i="38"/>
  <c r="BK65" i="38" s="1"/>
  <c r="P27" i="38" s="1"/>
  <c r="Q27" i="38" s="1"/>
  <c r="BG23" i="38"/>
  <c r="BK67" i="38" s="1"/>
  <c r="BG6" i="38"/>
  <c r="BK50" i="38" s="1"/>
  <c r="P12" i="38" s="1"/>
  <c r="Q12" i="38" s="1"/>
  <c r="BG10" i="38"/>
  <c r="BK54" i="38" s="1"/>
  <c r="P16" i="38" s="1"/>
  <c r="Q16" i="38" s="1"/>
  <c r="BG15" i="38"/>
  <c r="BK59" i="38" s="1"/>
  <c r="P21" i="38" s="1"/>
  <c r="Q21" i="38" s="1"/>
  <c r="BG8" i="38"/>
  <c r="BK52" i="38" s="1"/>
  <c r="P14" i="38" s="1"/>
  <c r="Q14" i="38" s="1"/>
  <c r="AQ20" i="38"/>
  <c r="AQ82" i="38" s="1"/>
  <c r="AN47" i="38"/>
  <c r="AO48" i="38"/>
  <c r="AP48" i="38" s="1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DA213" i="39"/>
  <c r="BI7" i="39"/>
  <c r="BN10" i="39"/>
  <c r="A13" i="40"/>
  <c r="DA216" i="39"/>
  <c r="A16" i="40"/>
  <c r="BN13" i="39"/>
  <c r="BI10" i="39"/>
  <c r="DA222" i="39"/>
  <c r="BN19" i="39"/>
  <c r="BI16" i="39"/>
  <c r="A22" i="40"/>
  <c r="DA218" i="39"/>
  <c r="A18" i="40"/>
  <c r="BI12" i="39"/>
  <c r="BN15" i="39"/>
  <c r="AN47" i="35"/>
  <c r="AO57" i="35"/>
  <c r="AP57" i="35" s="1"/>
  <c r="AO55" i="35"/>
  <c r="AP55" i="35" s="1"/>
  <c r="AO62" i="35"/>
  <c r="AP62" i="35" s="1"/>
  <c r="AO61" i="35"/>
  <c r="AP61" i="35" s="1"/>
  <c r="AO64" i="35"/>
  <c r="AP64" i="35" s="1"/>
  <c r="AO60" i="35"/>
  <c r="AP60" i="35" s="1"/>
  <c r="AO66" i="35"/>
  <c r="AP66" i="35" s="1"/>
  <c r="AN20" i="35"/>
  <c r="AO67" i="35"/>
  <c r="AP67" i="35" s="1"/>
  <c r="AO65" i="35"/>
  <c r="AP65" i="35" s="1"/>
  <c r="AO59" i="35"/>
  <c r="AP59" i="35" s="1"/>
  <c r="BG12" i="35"/>
  <c r="BK56" i="35" s="1"/>
  <c r="J18" i="35" s="1"/>
  <c r="BG9" i="35"/>
  <c r="BK53" i="35" s="1"/>
  <c r="J15" i="35" s="1"/>
  <c r="BG11" i="35"/>
  <c r="BK55" i="35" s="1"/>
  <c r="J17" i="35" s="1"/>
  <c r="BG6" i="35"/>
  <c r="BK50" i="35" s="1"/>
  <c r="J12" i="35" s="1"/>
  <c r="BG16" i="35"/>
  <c r="BK60" i="35" s="1"/>
  <c r="J22" i="35" s="1"/>
  <c r="BG23" i="35"/>
  <c r="BK67" i="35" s="1"/>
  <c r="BG21" i="35"/>
  <c r="BK65" i="35" s="1"/>
  <c r="J27" i="35" s="1"/>
  <c r="BG10" i="35"/>
  <c r="BK54" i="35" s="1"/>
  <c r="J16" i="35" s="1"/>
  <c r="BG20" i="35"/>
  <c r="BK64" i="35" s="1"/>
  <c r="J26" i="35" s="1"/>
  <c r="BG13" i="35"/>
  <c r="BK57" i="35" s="1"/>
  <c r="J19" i="35" s="1"/>
  <c r="BG15" i="35"/>
  <c r="BK59" i="35" s="1"/>
  <c r="J21" i="35" s="1"/>
  <c r="BG14" i="35"/>
  <c r="BK58" i="35" s="1"/>
  <c r="J20" i="35" s="1"/>
  <c r="BG17" i="35"/>
  <c r="BK61" i="35" s="1"/>
  <c r="J23" i="35" s="1"/>
  <c r="BG18" i="35"/>
  <c r="BK62" i="35" s="1"/>
  <c r="J24" i="35" s="1"/>
  <c r="BG8" i="35"/>
  <c r="BK52" i="35" s="1"/>
  <c r="J14" i="35" s="1"/>
  <c r="BG7" i="35"/>
  <c r="BK51" i="35" s="1"/>
  <c r="J13" i="35" s="1"/>
  <c r="BG19" i="35"/>
  <c r="BK63" i="35" s="1"/>
  <c r="J25" i="35" s="1"/>
  <c r="BG5" i="35"/>
  <c r="BG24" i="35"/>
  <c r="BK68" i="35" s="1"/>
  <c r="BG22" i="35"/>
  <c r="BK66" i="35" s="1"/>
  <c r="DA221" i="45"/>
  <c r="BN18" i="45"/>
  <c r="BI15" i="45"/>
  <c r="A67" i="46"/>
  <c r="A21" i="45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52" i="34"/>
  <c r="AW52" i="34" s="1"/>
  <c r="AV62" i="34"/>
  <c r="AW62" i="34" s="1"/>
  <c r="AV49" i="34"/>
  <c r="AW49" i="34" s="1"/>
  <c r="AV54" i="34"/>
  <c r="AW54" i="34" s="1"/>
  <c r="AV61" i="34"/>
  <c r="AW61" i="34" s="1"/>
  <c r="AV46" i="34"/>
  <c r="AW46" i="34" s="1"/>
  <c r="AV59" i="34"/>
  <c r="AW59" i="34" s="1"/>
  <c r="AV53" i="34"/>
  <c r="AW53" i="34" s="1"/>
  <c r="AV64" i="34"/>
  <c r="AW64" i="34" s="1"/>
  <c r="AV60" i="34"/>
  <c r="AW60" i="34" s="1"/>
  <c r="AV48" i="34"/>
  <c r="AW48" i="34" s="1"/>
  <c r="AV57" i="34"/>
  <c r="AW57" i="34" s="1"/>
  <c r="AV47" i="34"/>
  <c r="AW47" i="34" s="1"/>
  <c r="DF221" i="38" l="1"/>
  <c r="Q21" i="40"/>
  <c r="Q21" i="50"/>
  <c r="Q21" i="48"/>
  <c r="Q21" i="44"/>
  <c r="Q21" i="49"/>
  <c r="Q21" i="43"/>
  <c r="Q21" i="46"/>
  <c r="Q21" i="45"/>
  <c r="Q21" i="47"/>
  <c r="Q21" i="39"/>
  <c r="Q21" i="41"/>
  <c r="Q16" i="43"/>
  <c r="DF216" i="38"/>
  <c r="Q16" i="47"/>
  <c r="Q16" i="49"/>
  <c r="Q16" i="46"/>
  <c r="Q16" i="39"/>
  <c r="Q16" i="40"/>
  <c r="Q16" i="48"/>
  <c r="Q16" i="41"/>
  <c r="Q16" i="50"/>
  <c r="Q16" i="45"/>
  <c r="Q16" i="44"/>
  <c r="Q27" i="40"/>
  <c r="DF227" i="38"/>
  <c r="Q27" i="46"/>
  <c r="Q27" i="49"/>
  <c r="Q27" i="45"/>
  <c r="Q27" i="41"/>
  <c r="Q27" i="47"/>
  <c r="Q27" i="43"/>
  <c r="Q27" i="39"/>
  <c r="AA30" i="39" s="1"/>
  <c r="Q27" i="48"/>
  <c r="Q27" i="50"/>
  <c r="Q27" i="44"/>
  <c r="A27" i="38"/>
  <c r="Q15" i="48"/>
  <c r="DF215" i="38"/>
  <c r="Q15" i="45"/>
  <c r="Q15" i="47"/>
  <c r="Q15" i="49"/>
  <c r="Q15" i="50"/>
  <c r="Q15" i="43"/>
  <c r="Q15" i="40"/>
  <c r="Q15" i="44"/>
  <c r="Q15" i="39"/>
  <c r="Q15" i="46"/>
  <c r="Q15" i="41"/>
  <c r="Q22" i="50"/>
  <c r="DF222" i="38"/>
  <c r="Q22" i="41"/>
  <c r="Q22" i="45"/>
  <c r="Q22" i="46"/>
  <c r="Q22" i="47"/>
  <c r="Q22" i="48"/>
  <c r="Q22" i="40"/>
  <c r="Q22" i="49"/>
  <c r="Q22" i="39"/>
  <c r="Q22" i="44"/>
  <c r="Q22" i="43"/>
  <c r="Q23" i="43"/>
  <c r="DF223" i="38"/>
  <c r="Q23" i="46"/>
  <c r="Q23" i="49"/>
  <c r="Q23" i="47"/>
  <c r="Q23" i="45"/>
  <c r="Q23" i="39"/>
  <c r="AA26" i="39" s="1"/>
  <c r="Q23" i="41"/>
  <c r="Q23" i="50"/>
  <c r="Q23" i="40"/>
  <c r="Q23" i="48"/>
  <c r="Q23" i="44"/>
  <c r="A23" i="38"/>
  <c r="DF218" i="38"/>
  <c r="Q18" i="45"/>
  <c r="Q18" i="49"/>
  <c r="Q18" i="50"/>
  <c r="Q18" i="40"/>
  <c r="Q18" i="47"/>
  <c r="Q18" i="44"/>
  <c r="Q18" i="46"/>
  <c r="Q18" i="39"/>
  <c r="Q18" i="43"/>
  <c r="Q18" i="48"/>
  <c r="Q18" i="41"/>
  <c r="Q13" i="47"/>
  <c r="Q13" i="49"/>
  <c r="Q13" i="40"/>
  <c r="Q13" i="39"/>
  <c r="Q13" i="45"/>
  <c r="Q13" i="50"/>
  <c r="Q13" i="46"/>
  <c r="Q13" i="41"/>
  <c r="Q13" i="48"/>
  <c r="DF213" i="38"/>
  <c r="Q13" i="43"/>
  <c r="Q13" i="44"/>
  <c r="Q24" i="43"/>
  <c r="DF224" i="38"/>
  <c r="Q24" i="40"/>
  <c r="Q24" i="50"/>
  <c r="Q24" i="48"/>
  <c r="Q24" i="47"/>
  <c r="Q24" i="46"/>
  <c r="Q24" i="45"/>
  <c r="Q24" i="39"/>
  <c r="AA27" i="39" s="1"/>
  <c r="Q24" i="44"/>
  <c r="Q24" i="49"/>
  <c r="Q24" i="41"/>
  <c r="A24" i="38"/>
  <c r="Q25" i="46"/>
  <c r="DF225" i="38"/>
  <c r="Q25" i="41"/>
  <c r="Q25" i="40"/>
  <c r="Q25" i="39"/>
  <c r="AA28" i="39" s="1"/>
  <c r="Q25" i="47"/>
  <c r="Q25" i="48"/>
  <c r="Q25" i="50"/>
  <c r="Q25" i="44"/>
  <c r="Q25" i="43"/>
  <c r="Q25" i="49"/>
  <c r="Q25" i="45"/>
  <c r="A25" i="38"/>
  <c r="DA226" i="38"/>
  <c r="BI20" i="38"/>
  <c r="BN23" i="38"/>
  <c r="AC29" i="39"/>
  <c r="BO23" i="39"/>
  <c r="AK63" i="39"/>
  <c r="AL63" i="39" s="1"/>
  <c r="DF220" i="38"/>
  <c r="Q20" i="45"/>
  <c r="Q20" i="41"/>
  <c r="Q20" i="50"/>
  <c r="Q20" i="46"/>
  <c r="Q20" i="48"/>
  <c r="Q20" i="40"/>
  <c r="Q20" i="39"/>
  <c r="Q20" i="44"/>
  <c r="Q20" i="49"/>
  <c r="Q20" i="47"/>
  <c r="Q20" i="43"/>
  <c r="A20" i="38"/>
  <c r="Q17" i="48"/>
  <c r="DF217" i="38"/>
  <c r="Q17" i="47"/>
  <c r="Q17" i="44"/>
  <c r="Q17" i="50"/>
  <c r="Q17" i="41"/>
  <c r="Q17" i="45"/>
  <c r="Q17" i="43"/>
  <c r="Q17" i="39"/>
  <c r="Q17" i="49"/>
  <c r="Q17" i="40"/>
  <c r="Q17" i="46"/>
  <c r="A17" i="38"/>
  <c r="Q14" i="46"/>
  <c r="DF214" i="38"/>
  <c r="Q14" i="48"/>
  <c r="Q14" i="40"/>
  <c r="Q14" i="47"/>
  <c r="Q14" i="41"/>
  <c r="Q14" i="44"/>
  <c r="Q14" i="50"/>
  <c r="Q14" i="39"/>
  <c r="Q14" i="49"/>
  <c r="Q14" i="43"/>
  <c r="Q14" i="45"/>
  <c r="A14" i="38"/>
  <c r="Q12" i="40"/>
  <c r="DF212" i="38"/>
  <c r="Q12" i="50"/>
  <c r="Q12" i="39"/>
  <c r="Q12" i="46"/>
  <c r="Q12" i="44"/>
  <c r="Q12" i="45"/>
  <c r="Q12" i="48"/>
  <c r="Q12" i="49"/>
  <c r="Q12" i="43"/>
  <c r="Q12" i="41"/>
  <c r="Q12" i="47"/>
  <c r="A12" i="38"/>
  <c r="Q19" i="44"/>
  <c r="Q19" i="50"/>
  <c r="Q19" i="41"/>
  <c r="DF219" i="38"/>
  <c r="Q19" i="45"/>
  <c r="Q19" i="46"/>
  <c r="Q19" i="39"/>
  <c r="Q19" i="40"/>
  <c r="Q19" i="48"/>
  <c r="Q19" i="49"/>
  <c r="Q19" i="43"/>
  <c r="Q19" i="47"/>
  <c r="A19" i="38"/>
  <c r="AN46" i="38"/>
  <c r="AL21" i="38" s="1"/>
  <c r="AO53" i="38"/>
  <c r="AP53" i="38" s="1"/>
  <c r="AO52" i="38"/>
  <c r="AP52" i="38" s="1"/>
  <c r="AO49" i="38"/>
  <c r="AP49" i="38" s="1"/>
  <c r="AO59" i="38"/>
  <c r="AP59" i="38" s="1"/>
  <c r="AO67" i="38"/>
  <c r="AP67" i="38" s="1"/>
  <c r="AO63" i="38"/>
  <c r="AP63" i="38" s="1"/>
  <c r="AO61" i="38"/>
  <c r="AP61" i="38" s="1"/>
  <c r="AO64" i="38"/>
  <c r="AP64" i="38" s="1"/>
  <c r="AO56" i="38"/>
  <c r="AP56" i="38" s="1"/>
  <c r="AO50" i="38"/>
  <c r="AP50" i="38" s="1"/>
  <c r="AO58" i="38"/>
  <c r="AP58" i="38" s="1"/>
  <c r="AO66" i="38"/>
  <c r="AP66" i="38" s="1"/>
  <c r="AO62" i="38"/>
  <c r="AP62" i="38" s="1"/>
  <c r="AO57" i="38"/>
  <c r="AP57" i="38" s="1"/>
  <c r="AO65" i="38"/>
  <c r="AP65" i="38" s="1"/>
  <c r="AO54" i="38"/>
  <c r="AP54" i="38" s="1"/>
  <c r="AO55" i="38"/>
  <c r="AP55" i="38" s="1"/>
  <c r="AO51" i="38"/>
  <c r="AP51" i="38" s="1"/>
  <c r="AO60" i="38"/>
  <c r="AP60" i="38" s="1"/>
  <c r="P14" i="41"/>
  <c r="P14" i="50"/>
  <c r="P14" i="47"/>
  <c r="P14" i="40"/>
  <c r="P14" i="48"/>
  <c r="P14" i="43"/>
  <c r="P14" i="44"/>
  <c r="P14" i="45"/>
  <c r="P14" i="39"/>
  <c r="DE214" i="38"/>
  <c r="P14" i="49"/>
  <c r="P14" i="46"/>
  <c r="P21" i="43"/>
  <c r="P21" i="41"/>
  <c r="P21" i="46"/>
  <c r="P21" i="49"/>
  <c r="P21" i="47"/>
  <c r="P21" i="40"/>
  <c r="P21" i="39"/>
  <c r="P21" i="48"/>
  <c r="DE221" i="38"/>
  <c r="P21" i="50"/>
  <c r="P21" i="45"/>
  <c r="P21" i="44"/>
  <c r="P16" i="48"/>
  <c r="DE216" i="38"/>
  <c r="P16" i="41"/>
  <c r="P16" i="43"/>
  <c r="P16" i="44"/>
  <c r="P16" i="45"/>
  <c r="P16" i="49"/>
  <c r="P16" i="40"/>
  <c r="P16" i="39"/>
  <c r="P16" i="47"/>
  <c r="P16" i="46"/>
  <c r="P16" i="50"/>
  <c r="DE212" i="38"/>
  <c r="P12" i="47"/>
  <c r="P12" i="45"/>
  <c r="P12" i="39"/>
  <c r="P12" i="49"/>
  <c r="P12" i="50"/>
  <c r="P12" i="40"/>
  <c r="P12" i="46"/>
  <c r="P12" i="43"/>
  <c r="P12" i="48"/>
  <c r="P12" i="41"/>
  <c r="P12" i="44"/>
  <c r="P27" i="49"/>
  <c r="P27" i="40"/>
  <c r="P27" i="41"/>
  <c r="DE227" i="38"/>
  <c r="P27" i="44"/>
  <c r="P27" i="50"/>
  <c r="P27" i="39"/>
  <c r="P27" i="48"/>
  <c r="P27" i="45"/>
  <c r="P27" i="46"/>
  <c r="P27" i="47"/>
  <c r="P27" i="43"/>
  <c r="P15" i="46"/>
  <c r="DE215" i="38"/>
  <c r="P15" i="48"/>
  <c r="P15" i="40"/>
  <c r="P15" i="43"/>
  <c r="P15" i="44"/>
  <c r="P15" i="50"/>
  <c r="P15" i="41"/>
  <c r="P15" i="47"/>
  <c r="P15" i="49"/>
  <c r="P15" i="39"/>
  <c r="P15" i="45"/>
  <c r="P22" i="39"/>
  <c r="P22" i="47"/>
  <c r="P22" i="43"/>
  <c r="P22" i="48"/>
  <c r="P22" i="49"/>
  <c r="P22" i="46"/>
  <c r="P22" i="45"/>
  <c r="P22" i="40"/>
  <c r="DE222" i="38"/>
  <c r="P22" i="44"/>
  <c r="P22" i="50"/>
  <c r="P22" i="41"/>
  <c r="P20" i="41"/>
  <c r="DE220" i="38"/>
  <c r="P20" i="40"/>
  <c r="P20" i="46"/>
  <c r="P20" i="49"/>
  <c r="P20" i="43"/>
  <c r="P20" i="39"/>
  <c r="P20" i="50"/>
  <c r="P20" i="45"/>
  <c r="P20" i="47"/>
  <c r="P20" i="48"/>
  <c r="P20" i="44"/>
  <c r="DE219" i="38"/>
  <c r="P19" i="45"/>
  <c r="P19" i="49"/>
  <c r="P19" i="41"/>
  <c r="P19" i="40"/>
  <c r="P19" i="44"/>
  <c r="P19" i="50"/>
  <c r="P19" i="46"/>
  <c r="P19" i="47"/>
  <c r="P19" i="48"/>
  <c r="P19" i="39"/>
  <c r="P19" i="43"/>
  <c r="P23" i="48"/>
  <c r="DE223" i="38"/>
  <c r="P23" i="45"/>
  <c r="P23" i="47"/>
  <c r="P23" i="41"/>
  <c r="P23" i="40"/>
  <c r="P23" i="46"/>
  <c r="P23" i="50"/>
  <c r="P23" i="39"/>
  <c r="P23" i="49"/>
  <c r="P23" i="44"/>
  <c r="P23" i="43"/>
  <c r="P18" i="45"/>
  <c r="P18" i="47"/>
  <c r="P18" i="43"/>
  <c r="P18" i="39"/>
  <c r="DE218" i="38"/>
  <c r="P18" i="50"/>
  <c r="P18" i="46"/>
  <c r="P18" i="48"/>
  <c r="P18" i="44"/>
  <c r="P18" i="40"/>
  <c r="P18" i="49"/>
  <c r="P18" i="41"/>
  <c r="P13" i="46"/>
  <c r="P13" i="40"/>
  <c r="P13" i="50"/>
  <c r="P13" i="41"/>
  <c r="P13" i="45"/>
  <c r="P13" i="44"/>
  <c r="P13" i="39"/>
  <c r="P13" i="47"/>
  <c r="P13" i="48"/>
  <c r="DE213" i="38"/>
  <c r="P13" i="43"/>
  <c r="P13" i="49"/>
  <c r="DE217" i="38"/>
  <c r="P17" i="41"/>
  <c r="P17" i="50"/>
  <c r="P17" i="45"/>
  <c r="P17" i="47"/>
  <c r="P17" i="40"/>
  <c r="P17" i="49"/>
  <c r="P17" i="39"/>
  <c r="P17" i="43"/>
  <c r="P17" i="46"/>
  <c r="P17" i="44"/>
  <c r="P17" i="48"/>
  <c r="DE224" i="38"/>
  <c r="P24" i="41"/>
  <c r="P24" i="46"/>
  <c r="P24" i="39"/>
  <c r="P24" i="40"/>
  <c r="P24" i="47"/>
  <c r="P24" i="43"/>
  <c r="P24" i="50"/>
  <c r="P24" i="45"/>
  <c r="P24" i="49"/>
  <c r="P24" i="48"/>
  <c r="P24" i="44"/>
  <c r="BK49" i="38"/>
  <c r="P11" i="38" s="1"/>
  <c r="Q11" i="38" s="1"/>
  <c r="BG25" i="38"/>
  <c r="BG27" i="38" s="1"/>
  <c r="BK70" i="38" s="1"/>
  <c r="DE225" i="38"/>
  <c r="P25" i="45"/>
  <c r="P25" i="48"/>
  <c r="P25" i="41"/>
  <c r="P25" i="40"/>
  <c r="P25" i="47"/>
  <c r="P25" i="50"/>
  <c r="P25" i="46"/>
  <c r="P25" i="44"/>
  <c r="P25" i="49"/>
  <c r="P25" i="43"/>
  <c r="P25" i="39"/>
  <c r="AO23" i="37"/>
  <c r="AR23" i="37"/>
  <c r="AR85" i="37" s="1"/>
  <c r="AQ23" i="37"/>
  <c r="AQ85" i="37" s="1"/>
  <c r="AV56" i="37"/>
  <c r="AW56" i="37" s="1"/>
  <c r="AU46" i="37"/>
  <c r="AL24" i="37" s="1"/>
  <c r="AV55" i="37"/>
  <c r="AW55" i="37" s="1"/>
  <c r="AV67" i="37"/>
  <c r="AW67" i="37" s="1"/>
  <c r="AV66" i="37"/>
  <c r="AW66" i="37" s="1"/>
  <c r="AV65" i="37"/>
  <c r="AW65" i="37" s="1"/>
  <c r="AV61" i="37"/>
  <c r="AW61" i="37" s="1"/>
  <c r="AV63" i="37"/>
  <c r="AW63" i="37" s="1"/>
  <c r="AV64" i="37"/>
  <c r="AW64" i="37" s="1"/>
  <c r="AV62" i="37"/>
  <c r="AW62" i="37" s="1"/>
  <c r="AV60" i="37"/>
  <c r="AW60" i="37" s="1"/>
  <c r="AV50" i="37"/>
  <c r="AW50" i="37" s="1"/>
  <c r="AV52" i="37"/>
  <c r="AW52" i="37" s="1"/>
  <c r="AV57" i="37"/>
  <c r="AW57" i="37" s="1"/>
  <c r="AV54" i="37"/>
  <c r="AW54" i="37" s="1"/>
  <c r="AV49" i="37"/>
  <c r="AW49" i="37" s="1"/>
  <c r="AV58" i="37"/>
  <c r="AW58" i="37" s="1"/>
  <c r="AV51" i="37"/>
  <c r="AW51" i="37" s="1"/>
  <c r="AV53" i="37"/>
  <c r="AW53" i="37" s="1"/>
  <c r="BK49" i="35"/>
  <c r="J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AQ20" i="35"/>
  <c r="AQ82" i="35" s="1"/>
  <c r="AO63" i="35"/>
  <c r="AP63" i="35" s="1"/>
  <c r="AN46" i="35"/>
  <c r="AL21" i="35" s="1"/>
  <c r="AO48" i="35"/>
  <c r="AP48" i="35" s="1"/>
  <c r="AO50" i="35"/>
  <c r="AP50" i="35" s="1"/>
  <c r="AO52" i="35"/>
  <c r="AP52" i="35" s="1"/>
  <c r="AO51" i="35"/>
  <c r="AP51" i="35" s="1"/>
  <c r="AO53" i="35"/>
  <c r="AP53" i="35" s="1"/>
  <c r="AO56" i="35"/>
  <c r="AP56" i="35" s="1"/>
  <c r="AO54" i="35"/>
  <c r="AP54" i="35" s="1"/>
  <c r="AO58" i="35"/>
  <c r="AP58" i="35" s="1"/>
  <c r="AO49" i="35"/>
  <c r="AP49" i="35" s="1"/>
  <c r="DA218" i="40"/>
  <c r="A18" i="41"/>
  <c r="BN15" i="40"/>
  <c r="BI12" i="40"/>
  <c r="DA222" i="40"/>
  <c r="BN19" i="40"/>
  <c r="A22" i="41"/>
  <c r="BI16" i="40"/>
  <c r="DA216" i="40"/>
  <c r="A16" i="41"/>
  <c r="BI10" i="40"/>
  <c r="BN13" i="40"/>
  <c r="DA213" i="40"/>
  <c r="BI7" i="40"/>
  <c r="BN10" i="40"/>
  <c r="A13" i="41"/>
  <c r="AW45" i="34"/>
  <c r="AW44" i="34" s="1"/>
  <c r="AL25" i="34" s="1"/>
  <c r="AN24" i="34"/>
  <c r="AM24" i="34"/>
  <c r="AW30" i="34" s="1"/>
  <c r="AT30" i="34" s="1"/>
  <c r="AO85" i="34"/>
  <c r="AT83" i="34" s="1"/>
  <c r="AU30" i="34"/>
  <c r="AV30" i="34" s="1"/>
  <c r="DA221" i="46"/>
  <c r="BN18" i="46"/>
  <c r="A21" i="46"/>
  <c r="A67" i="47"/>
  <c r="BI15" i="46"/>
  <c r="DA225" i="38" l="1"/>
  <c r="BI19" i="38"/>
  <c r="BN22" i="38"/>
  <c r="AC28" i="39"/>
  <c r="BO22" i="39"/>
  <c r="AK62" i="39"/>
  <c r="AL62" i="39" s="1"/>
  <c r="DA224" i="38"/>
  <c r="BI18" i="38"/>
  <c r="BN21" i="38"/>
  <c r="AC27" i="39"/>
  <c r="AK61" i="39"/>
  <c r="AL61" i="39" s="1"/>
  <c r="BO21" i="39"/>
  <c r="BJ7" i="39"/>
  <c r="AA16" i="39"/>
  <c r="AA21" i="39"/>
  <c r="BJ12" i="39"/>
  <c r="DA223" i="38"/>
  <c r="BN20" i="38"/>
  <c r="BI17" i="38"/>
  <c r="AK60" i="39"/>
  <c r="AL60" i="39" s="1"/>
  <c r="AC26" i="39"/>
  <c r="BO20" i="39"/>
  <c r="AA25" i="39"/>
  <c r="BJ16" i="39"/>
  <c r="AA18" i="39"/>
  <c r="BJ9" i="39"/>
  <c r="DA227" i="38"/>
  <c r="BI21" i="38"/>
  <c r="BN24" i="38"/>
  <c r="AK64" i="39"/>
  <c r="AL64" i="39" s="1"/>
  <c r="AC30" i="39"/>
  <c r="BO24" i="39"/>
  <c r="AA19" i="39"/>
  <c r="BJ10" i="39"/>
  <c r="AA24" i="39"/>
  <c r="BJ15" i="39"/>
  <c r="DA220" i="38"/>
  <c r="BI14" i="38"/>
  <c r="BN17" i="38"/>
  <c r="AA23" i="39"/>
  <c r="BJ14" i="39"/>
  <c r="DA217" i="38"/>
  <c r="BN14" i="38"/>
  <c r="BI11" i="38"/>
  <c r="AA20" i="39"/>
  <c r="BJ11" i="39"/>
  <c r="DA214" i="38"/>
  <c r="BI8" i="38"/>
  <c r="A14" i="39"/>
  <c r="BN11" i="38"/>
  <c r="AA17" i="39"/>
  <c r="BJ8" i="39"/>
  <c r="DA212" i="38"/>
  <c r="BI6" i="38"/>
  <c r="A12" i="39"/>
  <c r="BN9" i="38"/>
  <c r="AA15" i="39"/>
  <c r="BJ6" i="39"/>
  <c r="Q11" i="43"/>
  <c r="DF211" i="38"/>
  <c r="Q11" i="48"/>
  <c r="Q11" i="44"/>
  <c r="Q11" i="50"/>
  <c r="Q11" i="45"/>
  <c r="Q11" i="39"/>
  <c r="Q11" i="49"/>
  <c r="Q11" i="47"/>
  <c r="Q11" i="41"/>
  <c r="Q11" i="40"/>
  <c r="Q11" i="46"/>
  <c r="A11" i="38"/>
  <c r="Q32" i="38"/>
  <c r="DA219" i="38"/>
  <c r="A19" i="39"/>
  <c r="BN16" i="38"/>
  <c r="BI13" i="38"/>
  <c r="Q32" i="46"/>
  <c r="Q33" i="46" s="1"/>
  <c r="DF232" i="38"/>
  <c r="Q32" i="43"/>
  <c r="Q33" i="43" s="1"/>
  <c r="Q32" i="45"/>
  <c r="Q33" i="45" s="1"/>
  <c r="Q32" i="39"/>
  <c r="Q33" i="39" s="1"/>
  <c r="Q32" i="49"/>
  <c r="Q33" i="49" s="1"/>
  <c r="Q32" i="50"/>
  <c r="Q33" i="50" s="1"/>
  <c r="Q32" i="47"/>
  <c r="Q33" i="47" s="1"/>
  <c r="Q32" i="44"/>
  <c r="Q33" i="44" s="1"/>
  <c r="Q32" i="40"/>
  <c r="Q33" i="40" s="1"/>
  <c r="Q33" i="38"/>
  <c r="U4" i="38" s="1"/>
  <c r="Q32" i="41"/>
  <c r="Q33" i="41" s="1"/>
  <c r="Q32" i="48"/>
  <c r="Q33" i="48" s="1"/>
  <c r="AA22" i="39"/>
  <c r="BJ13" i="39"/>
  <c r="P11" i="41"/>
  <c r="DE211" i="38"/>
  <c r="P11" i="44"/>
  <c r="P11" i="46"/>
  <c r="P11" i="40"/>
  <c r="P11" i="43"/>
  <c r="P11" i="47"/>
  <c r="P11" i="50"/>
  <c r="P11" i="49"/>
  <c r="P11" i="45"/>
  <c r="P11" i="48"/>
  <c r="P11" i="39"/>
  <c r="AP47" i="38"/>
  <c r="AQ52" i="38"/>
  <c r="AR52" i="38" s="1"/>
  <c r="AQ53" i="38"/>
  <c r="AR53" i="38" s="1"/>
  <c r="AM21" i="38"/>
  <c r="AN21" i="38"/>
  <c r="AO20" i="38"/>
  <c r="AW47" i="37"/>
  <c r="AW46" i="37" s="1"/>
  <c r="AL25" i="37" s="1"/>
  <c r="AN24" i="37"/>
  <c r="AM24" i="37"/>
  <c r="AW30" i="37" s="1"/>
  <c r="AT30" i="37" s="1"/>
  <c r="AO85" i="37"/>
  <c r="AT85" i="37" s="1"/>
  <c r="AU30" i="37"/>
  <c r="AV30" i="37" s="1"/>
  <c r="DA213" i="41"/>
  <c r="A59" i="43"/>
  <c r="BN10" i="41"/>
  <c r="BI7" i="41"/>
  <c r="DA216" i="41"/>
  <c r="BN13" i="41"/>
  <c r="A62" i="43"/>
  <c r="BI10" i="41"/>
  <c r="DA222" i="41"/>
  <c r="BN19" i="41"/>
  <c r="A68" i="43"/>
  <c r="BI16" i="41"/>
  <c r="DA218" i="41"/>
  <c r="A64" i="43"/>
  <c r="BN15" i="41"/>
  <c r="BI12" i="41"/>
  <c r="AP47" i="35"/>
  <c r="AQ48" i="35"/>
  <c r="AR48" i="35" s="1"/>
  <c r="AM21" i="35"/>
  <c r="AN21" i="35"/>
  <c r="AO20" i="35"/>
  <c r="AQ63" i="35"/>
  <c r="AR63" i="35" s="1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DA221" i="47"/>
  <c r="BI15" i="47"/>
  <c r="A21" i="47"/>
  <c r="A67" i="48"/>
  <c r="BN18" i="47"/>
  <c r="AR24" i="34"/>
  <c r="AR86" i="34" s="1"/>
  <c r="AQ24" i="34"/>
  <c r="AQ86" i="34" s="1"/>
  <c r="AO24" i="34"/>
  <c r="AN25" i="34"/>
  <c r="AM25" i="34"/>
  <c r="AW31" i="34" s="1"/>
  <c r="AT31" i="34" s="1"/>
  <c r="AK58" i="39" l="1"/>
  <c r="AL58" i="39" s="1"/>
  <c r="AC24" i="39"/>
  <c r="AE24" i="39"/>
  <c r="AF24" i="39" s="1"/>
  <c r="AG24" i="39" s="1"/>
  <c r="BO18" i="39"/>
  <c r="AE19" i="39"/>
  <c r="AF19" i="39" s="1"/>
  <c r="AG19" i="39" s="1"/>
  <c r="AK53" i="39"/>
  <c r="AL53" i="39" s="1"/>
  <c r="AC19" i="39"/>
  <c r="BO13" i="39"/>
  <c r="AC18" i="39"/>
  <c r="AK52" i="39"/>
  <c r="AL52" i="39" s="1"/>
  <c r="AE18" i="39"/>
  <c r="AF18" i="39" s="1"/>
  <c r="AG18" i="39" s="1"/>
  <c r="BO12" i="39"/>
  <c r="AC25" i="39"/>
  <c r="AK59" i="39"/>
  <c r="AL59" i="39" s="1"/>
  <c r="BO19" i="39"/>
  <c r="AE25" i="39"/>
  <c r="AF25" i="39" s="1"/>
  <c r="AG25" i="39" s="1"/>
  <c r="BO15" i="39"/>
  <c r="AE21" i="39"/>
  <c r="AC21" i="39"/>
  <c r="AK55" i="39"/>
  <c r="AL55" i="39" s="1"/>
  <c r="AK50" i="39"/>
  <c r="AL50" i="39" s="1"/>
  <c r="AC16" i="39"/>
  <c r="AE16" i="39"/>
  <c r="AF16" i="39" s="1"/>
  <c r="AG16" i="39" s="1"/>
  <c r="BO10" i="39"/>
  <c r="BO17" i="39"/>
  <c r="AC23" i="39"/>
  <c r="AK57" i="39"/>
  <c r="AL57" i="39" s="1"/>
  <c r="AE23" i="39"/>
  <c r="AF23" i="39" s="1"/>
  <c r="AG23" i="39" s="1"/>
  <c r="AE20" i="39"/>
  <c r="AF20" i="39" s="1"/>
  <c r="AG20" i="39" s="1"/>
  <c r="AC20" i="39"/>
  <c r="AK54" i="39"/>
  <c r="AL54" i="39" s="1"/>
  <c r="BO14" i="39"/>
  <c r="AE17" i="39"/>
  <c r="AK51" i="39"/>
  <c r="AL51" i="39" s="1"/>
  <c r="AC17" i="39"/>
  <c r="BO11" i="39"/>
  <c r="DA214" i="39"/>
  <c r="BI8" i="39"/>
  <c r="BN11" i="39"/>
  <c r="A14" i="40"/>
  <c r="AK49" i="39"/>
  <c r="AL49" i="39" s="1"/>
  <c r="AC15" i="39"/>
  <c r="BO9" i="39"/>
  <c r="AE15" i="39"/>
  <c r="AF15" i="39" s="1"/>
  <c r="AG15" i="39" s="1"/>
  <c r="DA212" i="39"/>
  <c r="BN9" i="39"/>
  <c r="A12" i="40"/>
  <c r="BI6" i="39"/>
  <c r="DA211" i="38"/>
  <c r="BN8" i="38"/>
  <c r="BI5" i="38"/>
  <c r="AA14" i="39"/>
  <c r="BJ5" i="39"/>
  <c r="AK56" i="39"/>
  <c r="AL56" i="39" s="1"/>
  <c r="AC22" i="39"/>
  <c r="BO16" i="39"/>
  <c r="AE22" i="39"/>
  <c r="AF22" i="39" s="1"/>
  <c r="DA219" i="39"/>
  <c r="BN16" i="39"/>
  <c r="A19" i="40"/>
  <c r="BI13" i="39"/>
  <c r="AO82" i="38"/>
  <c r="AU27" i="38"/>
  <c r="AV27" i="38" s="1"/>
  <c r="AQ21" i="38"/>
  <c r="AQ83" i="38" s="1"/>
  <c r="AO21" i="38"/>
  <c r="AR21" i="38"/>
  <c r="AR83" i="38" s="1"/>
  <c r="AQ6" i="38"/>
  <c r="AR20" i="38"/>
  <c r="AR82" i="38" s="1"/>
  <c r="AW27" i="38"/>
  <c r="AT27" i="38" s="1"/>
  <c r="AP46" i="38"/>
  <c r="AL22" i="38" s="1"/>
  <c r="AQ48" i="38"/>
  <c r="AR48" i="38" s="1"/>
  <c r="AQ60" i="38"/>
  <c r="AR60" i="38" s="1"/>
  <c r="AQ51" i="38"/>
  <c r="AR51" i="38" s="1"/>
  <c r="AQ55" i="38"/>
  <c r="AR55" i="38" s="1"/>
  <c r="AQ54" i="38"/>
  <c r="AR54" i="38" s="1"/>
  <c r="AQ65" i="38"/>
  <c r="AR65" i="38" s="1"/>
  <c r="AQ57" i="38"/>
  <c r="AR57" i="38" s="1"/>
  <c r="AQ62" i="38"/>
  <c r="AR62" i="38" s="1"/>
  <c r="AQ66" i="38"/>
  <c r="AR66" i="38" s="1"/>
  <c r="AQ58" i="38"/>
  <c r="AR58" i="38" s="1"/>
  <c r="AQ50" i="38"/>
  <c r="AR50" i="38" s="1"/>
  <c r="AQ56" i="38"/>
  <c r="AR56" i="38" s="1"/>
  <c r="AQ64" i="38"/>
  <c r="AR64" i="38" s="1"/>
  <c r="AQ61" i="38"/>
  <c r="AR61" i="38" s="1"/>
  <c r="AQ63" i="38"/>
  <c r="AR63" i="38" s="1"/>
  <c r="AQ67" i="38"/>
  <c r="AR67" i="38" s="1"/>
  <c r="AQ59" i="38"/>
  <c r="AR59" i="38" s="1"/>
  <c r="AQ49" i="38"/>
  <c r="AR49" i="38" s="1"/>
  <c r="AQ24" i="37"/>
  <c r="AQ86" i="37" s="1"/>
  <c r="AR24" i="37"/>
  <c r="AR86" i="37" s="1"/>
  <c r="AO24" i="37"/>
  <c r="AM25" i="37"/>
  <c r="AW31" i="37" s="1"/>
  <c r="AT31" i="37" s="1"/>
  <c r="AN25" i="37"/>
  <c r="AO82" i="35"/>
  <c r="AU27" i="35"/>
  <c r="AV27" i="35" s="1"/>
  <c r="AQ21" i="35"/>
  <c r="AQ83" i="35" s="1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65" i="35"/>
  <c r="AR65" i="35" s="1"/>
  <c r="AQ67" i="35"/>
  <c r="AR67" i="35" s="1"/>
  <c r="AQ60" i="35"/>
  <c r="AR60" i="35" s="1"/>
  <c r="AQ64" i="35"/>
  <c r="AR64" i="35" s="1"/>
  <c r="AQ61" i="35"/>
  <c r="AR61" i="35" s="1"/>
  <c r="AQ62" i="35"/>
  <c r="AR62" i="35" s="1"/>
  <c r="AQ55" i="35"/>
  <c r="AR55" i="35" s="1"/>
  <c r="AQ57" i="35"/>
  <c r="AR57" i="35" s="1"/>
  <c r="AQ49" i="35"/>
  <c r="AR49" i="35" s="1"/>
  <c r="AQ58" i="35"/>
  <c r="AR58" i="35" s="1"/>
  <c r="AQ54" i="35"/>
  <c r="AR54" i="35" s="1"/>
  <c r="AQ56" i="35"/>
  <c r="AR56" i="35" s="1"/>
  <c r="AQ53" i="35"/>
  <c r="AR53" i="35" s="1"/>
  <c r="AQ51" i="35"/>
  <c r="AR51" i="35" s="1"/>
  <c r="AQ52" i="35"/>
  <c r="AR52" i="35" s="1"/>
  <c r="AQ50" i="35"/>
  <c r="AR50" i="35" s="1"/>
  <c r="DA218" i="43"/>
  <c r="A64" i="44"/>
  <c r="BI12" i="43"/>
  <c r="BN15" i="43"/>
  <c r="DA222" i="43"/>
  <c r="BI16" i="43"/>
  <c r="A68" i="44"/>
  <c r="BN19" i="43"/>
  <c r="DA216" i="43"/>
  <c r="BI10" i="43"/>
  <c r="BN13" i="43"/>
  <c r="A62" i="44"/>
  <c r="DA213" i="43"/>
  <c r="BN10" i="43"/>
  <c r="BI7" i="43"/>
  <c r="A59" i="44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DA221" i="48"/>
  <c r="A21" i="48"/>
  <c r="BI15" i="48"/>
  <c r="A67" i="49"/>
  <c r="BN18" i="48"/>
  <c r="AF21" i="39" l="1"/>
  <c r="AG21" i="39" s="1"/>
  <c r="DA214" i="40"/>
  <c r="BI8" i="40"/>
  <c r="BN11" i="40"/>
  <c r="A14" i="41"/>
  <c r="AF17" i="39"/>
  <c r="AG17" i="39" s="1"/>
  <c r="DA212" i="40"/>
  <c r="A12" i="41"/>
  <c r="BN9" i="40"/>
  <c r="BI6" i="40"/>
  <c r="AK48" i="39"/>
  <c r="AL48" i="39" s="1"/>
  <c r="AC14" i="39"/>
  <c r="AE14" i="39"/>
  <c r="AF14" i="39" s="1"/>
  <c r="AG14" i="39" s="1"/>
  <c r="BO8" i="39"/>
  <c r="DA219" i="40"/>
  <c r="BN16" i="40"/>
  <c r="BI13" i="40"/>
  <c r="A19" i="41"/>
  <c r="AG22" i="39"/>
  <c r="AG2" i="39"/>
  <c r="AG3" i="39"/>
  <c r="BC12" i="39" s="1"/>
  <c r="AL47" i="39"/>
  <c r="AM56" i="39"/>
  <c r="AN56" i="39" s="1"/>
  <c r="Z44" i="39" a="1"/>
  <c r="AR47" i="38"/>
  <c r="AT48" i="38"/>
  <c r="AU48" i="38" s="1"/>
  <c r="AN22" i="38"/>
  <c r="AM22" i="38"/>
  <c r="AW28" i="38" s="1"/>
  <c r="AT28" i="38" s="1"/>
  <c r="AO83" i="38"/>
  <c r="AT83" i="38" s="1"/>
  <c r="AU28" i="38"/>
  <c r="AV28" i="38" s="1"/>
  <c r="AT82" i="38"/>
  <c r="AO25" i="37"/>
  <c r="AQ25" i="37"/>
  <c r="AQ87" i="37" s="1"/>
  <c r="AR25" i="37"/>
  <c r="AR87" i="37" s="1"/>
  <c r="AW32" i="37"/>
  <c r="AT32" i="37" s="1"/>
  <c r="AU31" i="37"/>
  <c r="AV31" i="37" s="1"/>
  <c r="AO86" i="37"/>
  <c r="AT86" i="37" s="1"/>
  <c r="DA213" i="44"/>
  <c r="BN10" i="44"/>
  <c r="A59" i="45"/>
  <c r="A13" i="44"/>
  <c r="BI7" i="44"/>
  <c r="DA216" i="44"/>
  <c r="BN13" i="44"/>
  <c r="A62" i="45"/>
  <c r="A16" i="44"/>
  <c r="BI10" i="44"/>
  <c r="DA222" i="44"/>
  <c r="BI16" i="44"/>
  <c r="A22" i="44"/>
  <c r="BN19" i="44"/>
  <c r="A68" i="45"/>
  <c r="DA218" i="44"/>
  <c r="A18" i="44"/>
  <c r="BI12" i="44"/>
  <c r="BN15" i="44"/>
  <c r="A64" i="45"/>
  <c r="AR47" i="35"/>
  <c r="AT57" i="35"/>
  <c r="AU57" i="35" s="1"/>
  <c r="AT55" i="35"/>
  <c r="AU55" i="35" s="1"/>
  <c r="AT62" i="35"/>
  <c r="AU62" i="35" s="1"/>
  <c r="AT61" i="35"/>
  <c r="AU61" i="35" s="1"/>
  <c r="AT64" i="35"/>
  <c r="AU64" i="35" s="1"/>
  <c r="AT60" i="35"/>
  <c r="AU60" i="35" s="1"/>
  <c r="AT67" i="35"/>
  <c r="AU67" i="35" s="1"/>
  <c r="AT65" i="35"/>
  <c r="AU65" i="35" s="1"/>
  <c r="AT59" i="35"/>
  <c r="AU59" i="35" s="1"/>
  <c r="AN22" i="35"/>
  <c r="AM22" i="35"/>
  <c r="AO21" i="35"/>
  <c r="AT66" i="35"/>
  <c r="AU66" i="35" s="1"/>
  <c r="AT82" i="35"/>
  <c r="DA221" i="49"/>
  <c r="BN18" i="49"/>
  <c r="A21" i="49"/>
  <c r="BI15" i="49"/>
  <c r="A67" i="50"/>
  <c r="AO87" i="34"/>
  <c r="AT85" i="34" s="1"/>
  <c r="AT87" i="34" s="1"/>
  <c r="AQ9" i="34" s="1"/>
  <c r="AU32" i="34"/>
  <c r="AV32" i="34" s="1"/>
  <c r="AV26" i="34" s="1"/>
  <c r="DA214" i="41" l="1"/>
  <c r="BN11" i="41"/>
  <c r="BI8" i="41"/>
  <c r="A60" i="43"/>
  <c r="DA212" i="41"/>
  <c r="A58" i="43"/>
  <c r="BN9" i="41"/>
  <c r="BI6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AM57" i="39"/>
  <c r="AN57" i="39" s="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N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BC23" i="39"/>
  <c r="BC24" i="39" s="1"/>
  <c r="BC29" i="39"/>
  <c r="BC25" i="39"/>
  <c r="BG26" i="39" s="1"/>
  <c r="BI69" i="39" s="1"/>
  <c r="BK69" i="39" s="1"/>
  <c r="R31" i="39" s="1"/>
  <c r="AC43" i="39"/>
  <c r="AC44" i="39" s="1"/>
  <c r="DA219" i="41"/>
  <c r="BN16" i="41"/>
  <c r="A65" i="43"/>
  <c r="BI13" i="41"/>
  <c r="AO22" i="38"/>
  <c r="AQ22" i="38"/>
  <c r="AQ84" i="38" s="1"/>
  <c r="AR22" i="38"/>
  <c r="AR84" i="38" s="1"/>
  <c r="AT53" i="38"/>
  <c r="AU53" i="38" s="1"/>
  <c r="AR46" i="38"/>
  <c r="AL23" i="38" s="1"/>
  <c r="AT52" i="38"/>
  <c r="AU52" i="38" s="1"/>
  <c r="AT49" i="38"/>
  <c r="AU49" i="38" s="1"/>
  <c r="AT59" i="38"/>
  <c r="AU59" i="38" s="1"/>
  <c r="AT67" i="38"/>
  <c r="AU67" i="38" s="1"/>
  <c r="AT63" i="38"/>
  <c r="AU63" i="38" s="1"/>
  <c r="AT61" i="38"/>
  <c r="AU61" i="38" s="1"/>
  <c r="AT64" i="38"/>
  <c r="AU64" i="38" s="1"/>
  <c r="AT56" i="38"/>
  <c r="AU56" i="38" s="1"/>
  <c r="AT50" i="38"/>
  <c r="AU50" i="38" s="1"/>
  <c r="AT58" i="38"/>
  <c r="AU58" i="38" s="1"/>
  <c r="AT66" i="38"/>
  <c r="AU66" i="38" s="1"/>
  <c r="AT62" i="38"/>
  <c r="AU62" i="38" s="1"/>
  <c r="AT57" i="38"/>
  <c r="AU57" i="38" s="1"/>
  <c r="AT65" i="38"/>
  <c r="AU65" i="38" s="1"/>
  <c r="AT54" i="38"/>
  <c r="AU54" i="38" s="1"/>
  <c r="AT55" i="38"/>
  <c r="AU55" i="38" s="1"/>
  <c r="AT51" i="38"/>
  <c r="AU51" i="38" s="1"/>
  <c r="AT60" i="38"/>
  <c r="AU60" i="38" s="1"/>
  <c r="AO87" i="37"/>
  <c r="AT87" i="37" s="1"/>
  <c r="AT89" i="37" s="1"/>
  <c r="AQ9" i="37" s="1"/>
  <c r="AU32" i="37"/>
  <c r="AV32" i="37" s="1"/>
  <c r="AV26" i="37" s="1"/>
  <c r="AU28" i="35"/>
  <c r="AV28" i="35" s="1"/>
  <c r="AO83" i="35"/>
  <c r="AW28" i="35"/>
  <c r="AT28" i="35" s="1"/>
  <c r="AR21" i="35"/>
  <c r="AR83" i="35" s="1"/>
  <c r="AQ22" i="35"/>
  <c r="AQ84" i="35" s="1"/>
  <c r="AO22" i="35"/>
  <c r="AR22" i="35"/>
  <c r="AR84" i="35" s="1"/>
  <c r="AT58" i="35"/>
  <c r="AU58" i="35" s="1"/>
  <c r="AR46" i="35"/>
  <c r="AL23" i="35" s="1"/>
  <c r="AT63" i="35"/>
  <c r="AU63" i="35" s="1"/>
  <c r="AT48" i="35"/>
  <c r="AU48" i="35" s="1"/>
  <c r="AT50" i="35"/>
  <c r="AU50" i="35" s="1"/>
  <c r="AT52" i="35"/>
  <c r="AU52" i="35" s="1"/>
  <c r="AT51" i="35"/>
  <c r="AU51" i="35" s="1"/>
  <c r="AT53" i="35"/>
  <c r="AU53" i="35" s="1"/>
  <c r="AT56" i="35"/>
  <c r="AU56" i="35" s="1"/>
  <c r="AT54" i="35"/>
  <c r="AU54" i="35" s="1"/>
  <c r="AT49" i="35"/>
  <c r="AU49" i="35" s="1"/>
  <c r="DA218" i="45"/>
  <c r="A18" i="45"/>
  <c r="BI12" i="45"/>
  <c r="A64" i="46"/>
  <c r="BN15" i="45"/>
  <c r="DA222" i="45"/>
  <c r="BI16" i="45"/>
  <c r="A22" i="45"/>
  <c r="A68" i="46"/>
  <c r="BN19" i="45"/>
  <c r="DA216" i="45"/>
  <c r="A16" i="45"/>
  <c r="BI10" i="45"/>
  <c r="BN13" i="45"/>
  <c r="A62" i="46"/>
  <c r="DA213" i="45"/>
  <c r="A13" i="45"/>
  <c r="BN10" i="45"/>
  <c r="BI7" i="45"/>
  <c r="A59" i="46"/>
  <c r="DA221" i="50"/>
  <c r="A21" i="50"/>
  <c r="BI15" i="50"/>
  <c r="BN18" i="50"/>
  <c r="R31" i="48" l="1"/>
  <c r="DE231" i="39"/>
  <c r="R31" i="46"/>
  <c r="R31" i="43"/>
  <c r="R31" i="47"/>
  <c r="R31" i="40"/>
  <c r="R31" i="44"/>
  <c r="R31" i="41"/>
  <c r="R31" i="50"/>
  <c r="R31" i="49"/>
  <c r="R31" i="45"/>
  <c r="S31" i="39"/>
  <c r="DA214" i="43"/>
  <c r="BI8" i="43"/>
  <c r="BN11" i="43"/>
  <c r="A60" i="44"/>
  <c r="DA212" i="43"/>
  <c r="BI6" i="43"/>
  <c r="BN9" i="43"/>
  <c r="A58" i="44"/>
  <c r="DA219" i="43"/>
  <c r="BN16" i="43"/>
  <c r="BI13" i="43"/>
  <c r="A65" i="44"/>
  <c r="AE44" i="39"/>
  <c r="AC45" i="39"/>
  <c r="BG21" i="39"/>
  <c r="BK65" i="39" s="1"/>
  <c r="R27" i="39" s="1"/>
  <c r="S27" i="39" s="1"/>
  <c r="BG6" i="39"/>
  <c r="BK50" i="39" s="1"/>
  <c r="R12" i="39" s="1"/>
  <c r="S12" i="39" s="1"/>
  <c r="BG14" i="39"/>
  <c r="BK58" i="39" s="1"/>
  <c r="R20" i="39" s="1"/>
  <c r="S20" i="39" s="1"/>
  <c r="BG18" i="39"/>
  <c r="BK62" i="39" s="1"/>
  <c r="R24" i="39" s="1"/>
  <c r="S24" i="39" s="1"/>
  <c r="BG10" i="39"/>
  <c r="BK54" i="39" s="1"/>
  <c r="R16" i="39" s="1"/>
  <c r="S16" i="39" s="1"/>
  <c r="BG15" i="39"/>
  <c r="BK59" i="39" s="1"/>
  <c r="R21" i="39" s="1"/>
  <c r="S21" i="39" s="1"/>
  <c r="BG17" i="39"/>
  <c r="BK61" i="39" s="1"/>
  <c r="R23" i="39" s="1"/>
  <c r="S23" i="39" s="1"/>
  <c r="BG8" i="39"/>
  <c r="BK52" i="39" s="1"/>
  <c r="R14" i="39" s="1"/>
  <c r="S14" i="39" s="1"/>
  <c r="BG12" i="39"/>
  <c r="BK56" i="39" s="1"/>
  <c r="R18" i="39" s="1"/>
  <c r="S18" i="39" s="1"/>
  <c r="BG22" i="39"/>
  <c r="BK66" i="39" s="1"/>
  <c r="BG5" i="39"/>
  <c r="BG23" i="39"/>
  <c r="BK67" i="39" s="1"/>
  <c r="BG13" i="39"/>
  <c r="BK57" i="39" s="1"/>
  <c r="R19" i="39" s="1"/>
  <c r="S19" i="39" s="1"/>
  <c r="BG9" i="39"/>
  <c r="BK53" i="39" s="1"/>
  <c r="R15" i="39" s="1"/>
  <c r="S15" i="39" s="1"/>
  <c r="BG19" i="39"/>
  <c r="BK63" i="39" s="1"/>
  <c r="R25" i="39" s="1"/>
  <c r="S25" i="39" s="1"/>
  <c r="BG7" i="39"/>
  <c r="BK51" i="39" s="1"/>
  <c r="R13" i="39" s="1"/>
  <c r="S13" i="39" s="1"/>
  <c r="BG11" i="39"/>
  <c r="BK55" i="39" s="1"/>
  <c r="R17" i="39" s="1"/>
  <c r="S17" i="39" s="1"/>
  <c r="BG24" i="39"/>
  <c r="BK68" i="39" s="1"/>
  <c r="BG20" i="39"/>
  <c r="BK64" i="39" s="1"/>
  <c r="R26" i="39" s="1"/>
  <c r="S26" i="39" s="1"/>
  <c r="BG16" i="39"/>
  <c r="BK60" i="39" s="1"/>
  <c r="R22" i="39" s="1"/>
  <c r="S22" i="39" s="1"/>
  <c r="AN47" i="39"/>
  <c r="AO48" i="39"/>
  <c r="AP48" i="39" s="1"/>
  <c r="AO55" i="39"/>
  <c r="AP55" i="39" s="1"/>
  <c r="AO64" i="39"/>
  <c r="AP64" i="39" s="1"/>
  <c r="AO61" i="39"/>
  <c r="AP61" i="39" s="1"/>
  <c r="AO50" i="39"/>
  <c r="AP50" i="39" s="1"/>
  <c r="AQ20" i="39"/>
  <c r="AQ82" i="39" s="1"/>
  <c r="AO49" i="39"/>
  <c r="AP49" i="39" s="1"/>
  <c r="AO63" i="39"/>
  <c r="AP63" i="39" s="1"/>
  <c r="AO60" i="39"/>
  <c r="AP60" i="39" s="1"/>
  <c r="AO67" i="39"/>
  <c r="AP67" i="39" s="1"/>
  <c r="AO52" i="39"/>
  <c r="AP52" i="39" s="1"/>
  <c r="AO66" i="39"/>
  <c r="AP66" i="39" s="1"/>
  <c r="AO59" i="39"/>
  <c r="AP59" i="39" s="1"/>
  <c r="AO57" i="39"/>
  <c r="AP57" i="39" s="1"/>
  <c r="AU47" i="38"/>
  <c r="AV52" i="38"/>
  <c r="AW52" i="38" s="1"/>
  <c r="AN23" i="38"/>
  <c r="AM23" i="38"/>
  <c r="AW29" i="38" s="1"/>
  <c r="AT29" i="38" s="1"/>
  <c r="AO84" i="38"/>
  <c r="AT84" i="38" s="1"/>
  <c r="AU29" i="38"/>
  <c r="AV29" i="38" s="1"/>
  <c r="DA213" i="46"/>
  <c r="BN10" i="46"/>
  <c r="A13" i="46"/>
  <c r="A59" i="47"/>
  <c r="BI7" i="46"/>
  <c r="DA216" i="46"/>
  <c r="BN13" i="46"/>
  <c r="A62" i="47"/>
  <c r="A16" i="46"/>
  <c r="BI10" i="46"/>
  <c r="DA222" i="46"/>
  <c r="A68" i="47"/>
  <c r="BN19" i="46"/>
  <c r="A22" i="46"/>
  <c r="BI16" i="46"/>
  <c r="DA218" i="46"/>
  <c r="A18" i="46"/>
  <c r="A64" i="47"/>
  <c r="BN15" i="46"/>
  <c r="BI12" i="46"/>
  <c r="AU47" i="35"/>
  <c r="AV48" i="35"/>
  <c r="AW48" i="35" s="1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AT83" i="35"/>
  <c r="S31" i="46" l="1"/>
  <c r="DF231" i="39"/>
  <c r="S31" i="48"/>
  <c r="S31" i="41"/>
  <c r="S31" i="44"/>
  <c r="S31" i="43"/>
  <c r="S31" i="45"/>
  <c r="S31" i="49"/>
  <c r="S31" i="50"/>
  <c r="S31" i="47"/>
  <c r="S31" i="40"/>
  <c r="DF222" i="39"/>
  <c r="S22" i="40"/>
  <c r="S22" i="48"/>
  <c r="S22" i="45"/>
  <c r="S22" i="47"/>
  <c r="S22" i="44"/>
  <c r="S22" i="41"/>
  <c r="S22" i="43"/>
  <c r="S22" i="46"/>
  <c r="S22" i="49"/>
  <c r="S22" i="50"/>
  <c r="S26" i="47"/>
  <c r="DF226" i="39"/>
  <c r="S26" i="44"/>
  <c r="S26" i="50"/>
  <c r="S26" i="49"/>
  <c r="S26" i="48"/>
  <c r="S26" i="45"/>
  <c r="S26" i="46"/>
  <c r="S26" i="40"/>
  <c r="AA29" i="40" s="1"/>
  <c r="S26" i="41"/>
  <c r="S26" i="43"/>
  <c r="A26" i="39"/>
  <c r="S17" i="44"/>
  <c r="S17" i="50"/>
  <c r="DF217" i="39"/>
  <c r="S17" i="49"/>
  <c r="S17" i="48"/>
  <c r="S17" i="46"/>
  <c r="S17" i="43"/>
  <c r="S17" i="47"/>
  <c r="S17" i="45"/>
  <c r="S17" i="40"/>
  <c r="S17" i="41"/>
  <c r="A17" i="39"/>
  <c r="DF213" i="39"/>
  <c r="S13" i="40"/>
  <c r="S13" i="46"/>
  <c r="S13" i="41"/>
  <c r="S13" i="45"/>
  <c r="S13" i="50"/>
  <c r="S13" i="43"/>
  <c r="S13" i="48"/>
  <c r="S13" i="47"/>
  <c r="S13" i="49"/>
  <c r="S13" i="44"/>
  <c r="DF225" i="39"/>
  <c r="S25" i="48"/>
  <c r="S25" i="43"/>
  <c r="S25" i="49"/>
  <c r="S25" i="50"/>
  <c r="S25" i="47"/>
  <c r="S25" i="45"/>
  <c r="S25" i="46"/>
  <c r="S25" i="41"/>
  <c r="S25" i="40"/>
  <c r="AA28" i="40" s="1"/>
  <c r="S25" i="44"/>
  <c r="A25" i="39"/>
  <c r="DF215" i="39"/>
  <c r="S15" i="40"/>
  <c r="S15" i="48"/>
  <c r="S15" i="41"/>
  <c r="S15" i="50"/>
  <c r="S15" i="43"/>
  <c r="S15" i="44"/>
  <c r="S15" i="49"/>
  <c r="S15" i="46"/>
  <c r="S15" i="47"/>
  <c r="S15" i="45"/>
  <c r="DF219" i="39"/>
  <c r="S19" i="49"/>
  <c r="S19" i="41"/>
  <c r="S19" i="40"/>
  <c r="S19" i="47"/>
  <c r="S19" i="43"/>
  <c r="S19" i="50"/>
  <c r="S19" i="48"/>
  <c r="S19" i="45"/>
  <c r="S19" i="46"/>
  <c r="S19" i="44"/>
  <c r="DF218" i="39"/>
  <c r="S18" i="46"/>
  <c r="S18" i="43"/>
  <c r="S18" i="41"/>
  <c r="S18" i="44"/>
  <c r="S18" i="40"/>
  <c r="S18" i="48"/>
  <c r="S18" i="45"/>
  <c r="S18" i="49"/>
  <c r="S18" i="50"/>
  <c r="S18" i="47"/>
  <c r="DF214" i="39"/>
  <c r="S14" i="46"/>
  <c r="S14" i="50"/>
  <c r="S14" i="45"/>
  <c r="S14" i="43"/>
  <c r="S14" i="48"/>
  <c r="S14" i="40"/>
  <c r="S14" i="49"/>
  <c r="S14" i="44"/>
  <c r="S14" i="41"/>
  <c r="S14" i="47"/>
  <c r="S23" i="49"/>
  <c r="DF223" i="39"/>
  <c r="S23" i="43"/>
  <c r="S23" i="47"/>
  <c r="S23" i="45"/>
  <c r="S23" i="44"/>
  <c r="S23" i="50"/>
  <c r="S23" i="41"/>
  <c r="S23" i="48"/>
  <c r="S23" i="46"/>
  <c r="S23" i="40"/>
  <c r="AA26" i="40" s="1"/>
  <c r="A23" i="39"/>
  <c r="DF221" i="39"/>
  <c r="S21" i="48"/>
  <c r="S21" i="47"/>
  <c r="S21" i="44"/>
  <c r="S21" i="49"/>
  <c r="S21" i="50"/>
  <c r="S21" i="46"/>
  <c r="S21" i="41"/>
  <c r="S21" i="45"/>
  <c r="S21" i="40"/>
  <c r="S21" i="43"/>
  <c r="DF216" i="39"/>
  <c r="S16" i="50"/>
  <c r="S16" i="44"/>
  <c r="S16" i="48"/>
  <c r="S16" i="49"/>
  <c r="S16" i="45"/>
  <c r="S16" i="47"/>
  <c r="S16" i="46"/>
  <c r="S16" i="40"/>
  <c r="S16" i="43"/>
  <c r="S16" i="41"/>
  <c r="S24" i="50"/>
  <c r="DF224" i="39"/>
  <c r="S24" i="47"/>
  <c r="S24" i="41"/>
  <c r="S24" i="43"/>
  <c r="S24" i="44"/>
  <c r="S24" i="48"/>
  <c r="S24" i="46"/>
  <c r="S24" i="45"/>
  <c r="S24" i="40"/>
  <c r="AA27" i="40" s="1"/>
  <c r="S24" i="49"/>
  <c r="A24" i="39"/>
  <c r="S20" i="47"/>
  <c r="S20" i="49"/>
  <c r="S20" i="46"/>
  <c r="DF220" i="39"/>
  <c r="S20" i="50"/>
  <c r="S20" i="43"/>
  <c r="S20" i="45"/>
  <c r="S20" i="48"/>
  <c r="S20" i="44"/>
  <c r="S20" i="40"/>
  <c r="S20" i="41"/>
  <c r="A20" i="39"/>
  <c r="S12" i="49"/>
  <c r="S12" i="47"/>
  <c r="DF212" i="39"/>
  <c r="S12" i="45"/>
  <c r="S12" i="43"/>
  <c r="S12" i="50"/>
  <c r="S12" i="44"/>
  <c r="S12" i="40"/>
  <c r="S12" i="48"/>
  <c r="S12" i="46"/>
  <c r="S12" i="41"/>
  <c r="S27" i="40"/>
  <c r="AA30" i="40" s="1"/>
  <c r="DF227" i="39"/>
  <c r="S27" i="45"/>
  <c r="S27" i="41"/>
  <c r="S27" i="47"/>
  <c r="S27" i="43"/>
  <c r="S27" i="50"/>
  <c r="S27" i="49"/>
  <c r="S27" i="48"/>
  <c r="S27" i="44"/>
  <c r="S27" i="46"/>
  <c r="A27" i="39"/>
  <c r="DA214" i="44"/>
  <c r="BN11" i="44"/>
  <c r="A60" i="45"/>
  <c r="A14" i="44"/>
  <c r="BI8" i="44"/>
  <c r="DA212" i="44"/>
  <c r="A58" i="45"/>
  <c r="BN9" i="44"/>
  <c r="A12" i="44"/>
  <c r="BI6" i="44"/>
  <c r="AO53" i="39"/>
  <c r="AP53" i="39" s="1"/>
  <c r="AN46" i="39"/>
  <c r="AL21" i="39" s="1"/>
  <c r="AO56" i="39"/>
  <c r="AP56" i="39" s="1"/>
  <c r="AO65" i="39"/>
  <c r="AP65" i="39" s="1"/>
  <c r="AO58" i="39"/>
  <c r="AP58" i="39" s="1"/>
  <c r="AO54" i="39"/>
  <c r="AP54" i="39" s="1"/>
  <c r="AO62" i="39"/>
  <c r="AP62" i="39" s="1"/>
  <c r="AO51" i="39"/>
  <c r="AP51" i="39" s="1"/>
  <c r="DE222" i="39"/>
  <c r="R22" i="49"/>
  <c r="R22" i="45"/>
  <c r="R22" i="46"/>
  <c r="R22" i="44"/>
  <c r="R22" i="41"/>
  <c r="R22" i="40"/>
  <c r="R22" i="50"/>
  <c r="R22" i="43"/>
  <c r="R22" i="47"/>
  <c r="R22" i="48"/>
  <c r="DE226" i="39"/>
  <c r="R26" i="41"/>
  <c r="R26" i="40"/>
  <c r="R26" i="43"/>
  <c r="R26" i="46"/>
  <c r="R26" i="47"/>
  <c r="R26" i="45"/>
  <c r="R26" i="49"/>
  <c r="R26" i="48"/>
  <c r="R26" i="50"/>
  <c r="R26" i="44"/>
  <c r="DE217" i="39"/>
  <c r="R17" i="49"/>
  <c r="R17" i="43"/>
  <c r="R17" i="45"/>
  <c r="R17" i="50"/>
  <c r="R17" i="47"/>
  <c r="R17" i="48"/>
  <c r="R17" i="44"/>
  <c r="R17" i="46"/>
  <c r="R17" i="40"/>
  <c r="R17" i="41"/>
  <c r="DE213" i="39"/>
  <c r="R13" i="40"/>
  <c r="R13" i="46"/>
  <c r="R13" i="45"/>
  <c r="R13" i="49"/>
  <c r="R13" i="50"/>
  <c r="R13" i="48"/>
  <c r="R13" i="47"/>
  <c r="R13" i="41"/>
  <c r="R13" i="44"/>
  <c r="R13" i="43"/>
  <c r="R25" i="44"/>
  <c r="DE225" i="39"/>
  <c r="R25" i="49"/>
  <c r="R25" i="50"/>
  <c r="R25" i="41"/>
  <c r="R25" i="45"/>
  <c r="R25" i="43"/>
  <c r="R25" i="48"/>
  <c r="R25" i="40"/>
  <c r="R25" i="47"/>
  <c r="R25" i="46"/>
  <c r="DE215" i="39"/>
  <c r="R15" i="49"/>
  <c r="R15" i="40"/>
  <c r="R15" i="48"/>
  <c r="R15" i="43"/>
  <c r="R15" i="44"/>
  <c r="R15" i="47"/>
  <c r="R15" i="45"/>
  <c r="R15" i="41"/>
  <c r="R15" i="50"/>
  <c r="R15" i="46"/>
  <c r="DE219" i="39"/>
  <c r="R19" i="44"/>
  <c r="R19" i="43"/>
  <c r="R19" i="47"/>
  <c r="R19" i="45"/>
  <c r="R19" i="41"/>
  <c r="R19" i="48"/>
  <c r="R19" i="49"/>
  <c r="R19" i="40"/>
  <c r="R19" i="46"/>
  <c r="R19" i="50"/>
  <c r="BG25" i="39"/>
  <c r="BG27" i="39" s="1"/>
  <c r="BK70" i="39" s="1"/>
  <c r="BK49" i="39"/>
  <c r="R11" i="39" s="1"/>
  <c r="S11" i="39" s="1"/>
  <c r="DE218" i="39"/>
  <c r="R18" i="47"/>
  <c r="R18" i="48"/>
  <c r="R18" i="44"/>
  <c r="R18" i="49"/>
  <c r="R18" i="40"/>
  <c r="R18" i="41"/>
  <c r="R18" i="43"/>
  <c r="R18" i="45"/>
  <c r="R18" i="50"/>
  <c r="R18" i="46"/>
  <c r="DE214" i="39"/>
  <c r="R14" i="41"/>
  <c r="R14" i="43"/>
  <c r="R14" i="49"/>
  <c r="R14" i="47"/>
  <c r="R14" i="50"/>
  <c r="R14" i="45"/>
  <c r="R14" i="48"/>
  <c r="R14" i="44"/>
  <c r="R14" i="46"/>
  <c r="R14" i="40"/>
  <c r="DE223" i="39"/>
  <c r="R23" i="43"/>
  <c r="R23" i="45"/>
  <c r="R23" i="41"/>
  <c r="R23" i="40"/>
  <c r="R23" i="44"/>
  <c r="R23" i="47"/>
  <c r="R23" i="50"/>
  <c r="R23" i="46"/>
  <c r="R23" i="49"/>
  <c r="R23" i="48"/>
  <c r="DE221" i="39"/>
  <c r="R21" i="46"/>
  <c r="R21" i="45"/>
  <c r="R21" i="48"/>
  <c r="R21" i="44"/>
  <c r="R21" i="50"/>
  <c r="R21" i="40"/>
  <c r="R21" i="47"/>
  <c r="R21" i="49"/>
  <c r="R21" i="43"/>
  <c r="R21" i="41"/>
  <c r="DE216" i="39"/>
  <c r="R16" i="48"/>
  <c r="R16" i="45"/>
  <c r="R16" i="49"/>
  <c r="R16" i="46"/>
  <c r="R16" i="50"/>
  <c r="R16" i="43"/>
  <c r="R16" i="41"/>
  <c r="R16" i="47"/>
  <c r="R16" i="40"/>
  <c r="R16" i="44"/>
  <c r="DE224" i="39"/>
  <c r="R24" i="46"/>
  <c r="R24" i="47"/>
  <c r="R24" i="45"/>
  <c r="R24" i="40"/>
  <c r="R24" i="49"/>
  <c r="R24" i="48"/>
  <c r="R24" i="41"/>
  <c r="R24" i="50"/>
  <c r="R24" i="43"/>
  <c r="R24" i="44"/>
  <c r="DE220" i="39"/>
  <c r="R20" i="41"/>
  <c r="R20" i="40"/>
  <c r="R20" i="45"/>
  <c r="R20" i="44"/>
  <c r="R20" i="46"/>
  <c r="R20" i="50"/>
  <c r="R20" i="43"/>
  <c r="R20" i="48"/>
  <c r="R20" i="47"/>
  <c r="R20" i="49"/>
  <c r="DE212" i="39"/>
  <c r="R12" i="48"/>
  <c r="R12" i="43"/>
  <c r="R12" i="45"/>
  <c r="R12" i="49"/>
  <c r="R12" i="50"/>
  <c r="R12" i="44"/>
  <c r="R12" i="41"/>
  <c r="R12" i="47"/>
  <c r="R12" i="40"/>
  <c r="R12" i="46"/>
  <c r="DE227" i="39"/>
  <c r="R27" i="43"/>
  <c r="R27" i="49"/>
  <c r="R27" i="44"/>
  <c r="R27" i="41"/>
  <c r="R27" i="47"/>
  <c r="R27" i="50"/>
  <c r="R27" i="45"/>
  <c r="R27" i="40"/>
  <c r="R27" i="46"/>
  <c r="R27" i="48"/>
  <c r="AC46" i="39"/>
  <c r="AE45" i="39"/>
  <c r="DA219" i="44"/>
  <c r="A19" i="44"/>
  <c r="BN16" i="44"/>
  <c r="BI13" i="44"/>
  <c r="A65" i="45"/>
  <c r="AR23" i="38"/>
  <c r="AR85" i="38" s="1"/>
  <c r="AQ23" i="38"/>
  <c r="AQ85" i="38" s="1"/>
  <c r="AO23" i="38"/>
  <c r="AV53" i="38"/>
  <c r="AW53" i="38" s="1"/>
  <c r="AU46" i="38"/>
  <c r="AL24" i="38" s="1"/>
  <c r="AV48" i="38"/>
  <c r="AW48" i="38" s="1"/>
  <c r="AV60" i="38"/>
  <c r="AW60" i="38" s="1"/>
  <c r="AV51" i="38"/>
  <c r="AW51" i="38" s="1"/>
  <c r="AV55" i="38"/>
  <c r="AW55" i="38" s="1"/>
  <c r="AV54" i="38"/>
  <c r="AW54" i="38" s="1"/>
  <c r="AV65" i="38"/>
  <c r="AW65" i="38" s="1"/>
  <c r="AV57" i="38"/>
  <c r="AW57" i="38" s="1"/>
  <c r="AV62" i="38"/>
  <c r="AW62" i="38" s="1"/>
  <c r="AV66" i="38"/>
  <c r="AW66" i="38" s="1"/>
  <c r="AV58" i="38"/>
  <c r="AW58" i="38" s="1"/>
  <c r="AV50" i="38"/>
  <c r="AW50" i="38" s="1"/>
  <c r="AV56" i="38"/>
  <c r="AW56" i="38" s="1"/>
  <c r="AV64" i="38"/>
  <c r="AW64" i="38" s="1"/>
  <c r="AV61" i="38"/>
  <c r="AW61" i="38" s="1"/>
  <c r="AV63" i="38"/>
  <c r="AW63" i="38" s="1"/>
  <c r="AV67" i="38"/>
  <c r="AW67" i="38" s="1"/>
  <c r="AV59" i="38"/>
  <c r="AW59" i="38" s="1"/>
  <c r="AV49" i="38"/>
  <c r="AW49" i="38" s="1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67" i="35"/>
  <c r="AW67" i="35" s="1"/>
  <c r="AV60" i="35"/>
  <c r="AW60" i="35" s="1"/>
  <c r="AV64" i="35"/>
  <c r="AW64" i="35" s="1"/>
  <c r="AV61" i="35"/>
  <c r="AW61" i="35" s="1"/>
  <c r="AV62" i="35"/>
  <c r="AW62" i="35" s="1"/>
  <c r="AV55" i="35"/>
  <c r="AW55" i="35" s="1"/>
  <c r="AV57" i="35"/>
  <c r="AW57" i="35" s="1"/>
  <c r="AV49" i="35"/>
  <c r="AW49" i="35" s="1"/>
  <c r="AV54" i="35"/>
  <c r="AW54" i="35" s="1"/>
  <c r="AV56" i="35"/>
  <c r="AW56" i="35" s="1"/>
  <c r="AV53" i="35"/>
  <c r="AW53" i="35" s="1"/>
  <c r="AV51" i="35"/>
  <c r="AW51" i="35" s="1"/>
  <c r="AV52" i="35"/>
  <c r="AW52" i="35" s="1"/>
  <c r="AV50" i="35"/>
  <c r="AW50" i="35" s="1"/>
  <c r="DA218" i="47"/>
  <c r="A64" i="48"/>
  <c r="BI12" i="47"/>
  <c r="A18" i="47"/>
  <c r="BN15" i="47"/>
  <c r="DA222" i="47"/>
  <c r="A22" i="47"/>
  <c r="BI16" i="47"/>
  <c r="BN19" i="47"/>
  <c r="A68" i="48"/>
  <c r="DA216" i="47"/>
  <c r="BN13" i="47"/>
  <c r="A62" i="48"/>
  <c r="A16" i="47"/>
  <c r="BI10" i="47"/>
  <c r="DA213" i="47"/>
  <c r="A59" i="48"/>
  <c r="BN10" i="47"/>
  <c r="BI7" i="47"/>
  <c r="A13" i="47"/>
  <c r="S11" i="40" l="1"/>
  <c r="S11" i="48"/>
  <c r="S11" i="43"/>
  <c r="S11" i="44"/>
  <c r="S11" i="41"/>
  <c r="DF211" i="39"/>
  <c r="S11" i="49"/>
  <c r="S11" i="50"/>
  <c r="S11" i="46"/>
  <c r="S11" i="45"/>
  <c r="S11" i="47"/>
  <c r="S32" i="39"/>
  <c r="A11" i="39"/>
  <c r="DA227" i="39"/>
  <c r="BI21" i="39"/>
  <c r="BN24" i="39"/>
  <c r="AK64" i="40"/>
  <c r="AL64" i="40" s="1"/>
  <c r="AC30" i="40"/>
  <c r="BO24" i="40"/>
  <c r="AA15" i="40"/>
  <c r="BJ6" i="40"/>
  <c r="DA220" i="39"/>
  <c r="BN17" i="39"/>
  <c r="BI14" i="39"/>
  <c r="AA23" i="40"/>
  <c r="BJ14" i="40"/>
  <c r="DA224" i="39"/>
  <c r="BN21" i="39"/>
  <c r="BI18" i="39"/>
  <c r="AK61" i="40"/>
  <c r="AL61" i="40" s="1"/>
  <c r="AC27" i="40"/>
  <c r="BO21" i="40"/>
  <c r="AA19" i="40"/>
  <c r="BJ10" i="40"/>
  <c r="AA24" i="40"/>
  <c r="BJ15" i="40"/>
  <c r="DA223" i="39"/>
  <c r="BN20" i="39"/>
  <c r="BI17" i="39"/>
  <c r="AK60" i="40"/>
  <c r="AL60" i="40" s="1"/>
  <c r="AC26" i="40"/>
  <c r="BO20" i="40"/>
  <c r="AA17" i="40"/>
  <c r="BJ8" i="40"/>
  <c r="AA21" i="40"/>
  <c r="BJ12" i="40"/>
  <c r="AA22" i="40"/>
  <c r="BJ13" i="40"/>
  <c r="AA18" i="40"/>
  <c r="BJ9" i="40"/>
  <c r="DA225" i="39"/>
  <c r="BI19" i="39"/>
  <c r="BN22" i="39"/>
  <c r="AE28" i="40"/>
  <c r="AF28" i="40" s="1"/>
  <c r="AG28" i="40" s="1"/>
  <c r="AC28" i="40"/>
  <c r="AK62" i="40"/>
  <c r="AL62" i="40" s="1"/>
  <c r="BO22" i="40"/>
  <c r="AA16" i="40"/>
  <c r="BJ7" i="40"/>
  <c r="DA217" i="39"/>
  <c r="BI11" i="39"/>
  <c r="BN14" i="39"/>
  <c r="AA20" i="40"/>
  <c r="BJ11" i="40"/>
  <c r="DA226" i="39"/>
  <c r="BI20" i="39"/>
  <c r="BN23" i="39"/>
  <c r="AE29" i="40"/>
  <c r="AF29" i="40" s="1"/>
  <c r="AG29" i="40" s="1"/>
  <c r="AK63" i="40"/>
  <c r="AL63" i="40" s="1"/>
  <c r="BO23" i="40"/>
  <c r="AC29" i="40"/>
  <c r="AA25" i="40"/>
  <c r="BJ16" i="40"/>
  <c r="DA214" i="45"/>
  <c r="BI8" i="45"/>
  <c r="A14" i="45"/>
  <c r="A60" i="46"/>
  <c r="BN11" i="45"/>
  <c r="DA212" i="45"/>
  <c r="A12" i="45"/>
  <c r="BI6" i="45"/>
  <c r="BN9" i="45"/>
  <c r="A58" i="46"/>
  <c r="DA219" i="45"/>
  <c r="BN16" i="45"/>
  <c r="A19" i="45"/>
  <c r="A65" i="46"/>
  <c r="BI13" i="45"/>
  <c r="AE46" i="39"/>
  <c r="AC47" i="39"/>
  <c r="DE211" i="39"/>
  <c r="R11" i="40"/>
  <c r="R11" i="48"/>
  <c r="R11" i="41"/>
  <c r="R11" i="50"/>
  <c r="R11" i="46"/>
  <c r="R11" i="49"/>
  <c r="R11" i="44"/>
  <c r="R11" i="47"/>
  <c r="R11" i="45"/>
  <c r="R11" i="43"/>
  <c r="AP47" i="39"/>
  <c r="AQ62" i="39"/>
  <c r="AR62" i="39" s="1"/>
  <c r="AQ54" i="39"/>
  <c r="AR54" i="39" s="1"/>
  <c r="AQ58" i="39"/>
  <c r="AR58" i="39" s="1"/>
  <c r="AQ56" i="39"/>
  <c r="AR56" i="39" s="1"/>
  <c r="AM21" i="39"/>
  <c r="AN21" i="39"/>
  <c r="AO20" i="39"/>
  <c r="AQ53" i="39"/>
  <c r="AR53" i="39" s="1"/>
  <c r="AW47" i="38"/>
  <c r="AW46" i="38" s="1"/>
  <c r="AL25" i="38" s="1"/>
  <c r="AN24" i="38"/>
  <c r="AM24" i="38"/>
  <c r="AW30" i="38" s="1"/>
  <c r="AT30" i="38" s="1"/>
  <c r="AU30" i="38"/>
  <c r="AV30" i="38" s="1"/>
  <c r="AO85" i="38"/>
  <c r="AT85" i="38" s="1"/>
  <c r="DA213" i="48"/>
  <c r="BN10" i="48"/>
  <c r="A59" i="49"/>
  <c r="BI7" i="48"/>
  <c r="A13" i="48"/>
  <c r="DA216" i="48"/>
  <c r="A16" i="48"/>
  <c r="BI10" i="48"/>
  <c r="A62" i="49"/>
  <c r="BN13" i="48"/>
  <c r="DA222" i="48"/>
  <c r="A22" i="48"/>
  <c r="A68" i="49"/>
  <c r="BN19" i="48"/>
  <c r="BI16" i="48"/>
  <c r="DA218" i="48"/>
  <c r="BN15" i="48"/>
  <c r="A18" i="48"/>
  <c r="BI12" i="48"/>
  <c r="A64" i="49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AE25" i="40" l="1"/>
  <c r="AF25" i="40" s="1"/>
  <c r="AG25" i="40" s="1"/>
  <c r="BO19" i="40"/>
  <c r="AC25" i="40"/>
  <c r="AK59" i="40"/>
  <c r="AL59" i="40" s="1"/>
  <c r="AE20" i="40"/>
  <c r="AF20" i="40" s="1"/>
  <c r="AG20" i="40" s="1"/>
  <c r="AK54" i="40"/>
  <c r="AL54" i="40" s="1"/>
  <c r="AC20" i="40"/>
  <c r="BO14" i="40"/>
  <c r="AE16" i="40"/>
  <c r="AK50" i="40"/>
  <c r="AL50" i="40" s="1"/>
  <c r="AC16" i="40"/>
  <c r="BO10" i="40"/>
  <c r="AE18" i="40"/>
  <c r="BO12" i="40"/>
  <c r="AC18" i="40"/>
  <c r="AK52" i="40"/>
  <c r="AL52" i="40" s="1"/>
  <c r="AE22" i="40"/>
  <c r="AF22" i="40" s="1"/>
  <c r="AG22" i="40" s="1"/>
  <c r="AC22" i="40"/>
  <c r="BO16" i="40"/>
  <c r="AK56" i="40"/>
  <c r="AL56" i="40" s="1"/>
  <c r="BO15" i="40"/>
  <c r="AE21" i="40"/>
  <c r="AK55" i="40"/>
  <c r="AL55" i="40" s="1"/>
  <c r="AC21" i="40"/>
  <c r="AC17" i="40"/>
  <c r="AK51" i="40"/>
  <c r="AL51" i="40" s="1"/>
  <c r="AE17" i="40"/>
  <c r="AF17" i="40" s="1"/>
  <c r="AG17" i="40" s="1"/>
  <c r="BO11" i="40"/>
  <c r="AC24" i="40"/>
  <c r="AE24" i="40"/>
  <c r="AF24" i="40" s="1"/>
  <c r="AG24" i="40" s="1"/>
  <c r="AK58" i="40"/>
  <c r="AL58" i="40" s="1"/>
  <c r="BO18" i="40"/>
  <c r="AE19" i="40"/>
  <c r="AF19" i="40" s="1"/>
  <c r="AG19" i="40" s="1"/>
  <c r="AC19" i="40"/>
  <c r="BO13" i="40"/>
  <c r="AK53" i="40"/>
  <c r="AL53" i="40" s="1"/>
  <c r="AC23" i="40"/>
  <c r="AK57" i="40"/>
  <c r="AL57" i="40" s="1"/>
  <c r="AE23" i="40"/>
  <c r="AF23" i="40" s="1"/>
  <c r="AG23" i="40" s="1"/>
  <c r="BO17" i="40"/>
  <c r="AK49" i="40"/>
  <c r="AL49" i="40" s="1"/>
  <c r="AC15" i="40"/>
  <c r="AE15" i="40"/>
  <c r="AF15" i="40" s="1"/>
  <c r="AG15" i="40" s="1"/>
  <c r="BO9" i="40"/>
  <c r="DA211" i="39"/>
  <c r="BI5" i="39"/>
  <c r="BN8" i="39"/>
  <c r="DF232" i="39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AA14" i="40"/>
  <c r="BJ5" i="40"/>
  <c r="DA214" i="46"/>
  <c r="A14" i="46"/>
  <c r="A60" i="47"/>
  <c r="BN11" i="46"/>
  <c r="BI8" i="46"/>
  <c r="DA212" i="46"/>
  <c r="BN9" i="46"/>
  <c r="A12" i="46"/>
  <c r="BI6" i="46"/>
  <c r="A58" i="47"/>
  <c r="AU27" i="39"/>
  <c r="AV27" i="39" s="1"/>
  <c r="AO82" i="39"/>
  <c r="AO21" i="39"/>
  <c r="AR21" i="39"/>
  <c r="AR83" i="39" s="1"/>
  <c r="AQ21" i="39"/>
  <c r="AQ83" i="39" s="1"/>
  <c r="AR20" i="39"/>
  <c r="AR82" i="39" s="1"/>
  <c r="AQ6" i="39"/>
  <c r="AW27" i="39"/>
  <c r="AT27" i="39" s="1"/>
  <c r="AQ65" i="39"/>
  <c r="AR65" i="39" s="1"/>
  <c r="AP46" i="39"/>
  <c r="AL22" i="39" s="1"/>
  <c r="AQ57" i="39"/>
  <c r="AR57" i="39" s="1"/>
  <c r="AQ59" i="39"/>
  <c r="AR59" i="39" s="1"/>
  <c r="AQ66" i="39"/>
  <c r="AR66" i="39" s="1"/>
  <c r="AQ52" i="39"/>
  <c r="AR52" i="39" s="1"/>
  <c r="AQ67" i="39"/>
  <c r="AR67" i="39" s="1"/>
  <c r="AQ60" i="39"/>
  <c r="AR60" i="39" s="1"/>
  <c r="AQ63" i="39"/>
  <c r="AR63" i="39" s="1"/>
  <c r="AQ49" i="39"/>
  <c r="AR49" i="39" s="1"/>
  <c r="AQ50" i="39"/>
  <c r="AR50" i="39" s="1"/>
  <c r="AQ61" i="39"/>
  <c r="AR61" i="39" s="1"/>
  <c r="AQ64" i="39"/>
  <c r="AR64" i="39" s="1"/>
  <c r="AQ55" i="39"/>
  <c r="AR55" i="39" s="1"/>
  <c r="AQ48" i="39"/>
  <c r="AR48" i="39" s="1"/>
  <c r="AQ51" i="39"/>
  <c r="AR51" i="39" s="1"/>
  <c r="AE47" i="39"/>
  <c r="AC48" i="39"/>
  <c r="DA219" i="46"/>
  <c r="A65" i="47"/>
  <c r="A19" i="46"/>
  <c r="BI13" i="46"/>
  <c r="BN16" i="46"/>
  <c r="AO24" i="38"/>
  <c r="AQ24" i="38"/>
  <c r="AQ86" i="38" s="1"/>
  <c r="AR24" i="38"/>
  <c r="AR86" i="38" s="1"/>
  <c r="AN25" i="38"/>
  <c r="AM25" i="38"/>
  <c r="AW31" i="38" s="1"/>
  <c r="AT31" i="38" s="1"/>
  <c r="AQ24" i="35"/>
  <c r="AQ86" i="35" s="1"/>
  <c r="AO24" i="35"/>
  <c r="AR24" i="35"/>
  <c r="AR86" i="35" s="1"/>
  <c r="AN25" i="35"/>
  <c r="AM25" i="35"/>
  <c r="AW31" i="35" s="1"/>
  <c r="AT31" i="35" s="1"/>
  <c r="DA218" i="49"/>
  <c r="BN15" i="49"/>
  <c r="BI12" i="49"/>
  <c r="A64" i="50"/>
  <c r="A18" i="49"/>
  <c r="DA222" i="49"/>
  <c r="A68" i="50"/>
  <c r="BN19" i="49"/>
  <c r="A22" i="49"/>
  <c r="BI16" i="49"/>
  <c r="DA216" i="49"/>
  <c r="BI10" i="49"/>
  <c r="BN13" i="49"/>
  <c r="A62" i="50"/>
  <c r="A16" i="49"/>
  <c r="DA213" i="49"/>
  <c r="A59" i="50"/>
  <c r="BN10" i="49"/>
  <c r="A13" i="49"/>
  <c r="BI7" i="49"/>
  <c r="AC14" i="40" l="1"/>
  <c r="AK48" i="40"/>
  <c r="AL48" i="40" s="1"/>
  <c r="AE14" i="40"/>
  <c r="AF14" i="40" s="1"/>
  <c r="BO8" i="40"/>
  <c r="AF21" i="40"/>
  <c r="AG21" i="40" s="1"/>
  <c r="AF18" i="40"/>
  <c r="AG18" i="40" s="1"/>
  <c r="AF16" i="40"/>
  <c r="AG16" i="40" s="1"/>
  <c r="DA214" i="47"/>
  <c r="BI8" i="47"/>
  <c r="A60" i="48"/>
  <c r="A14" i="47"/>
  <c r="BN11" i="47"/>
  <c r="DA212" i="47"/>
  <c r="A58" i="48"/>
  <c r="A12" i="47"/>
  <c r="BI6" i="47"/>
  <c r="BN9" i="47"/>
  <c r="DA219" i="47"/>
  <c r="BI13" i="47"/>
  <c r="BN16" i="47"/>
  <c r="A65" i="48"/>
  <c r="A19" i="47"/>
  <c r="AC49" i="39"/>
  <c r="AE48" i="39"/>
  <c r="AR47" i="39"/>
  <c r="AT48" i="39"/>
  <c r="AU48" i="39" s="1"/>
  <c r="AT55" i="39"/>
  <c r="AU55" i="39" s="1"/>
  <c r="AT64" i="39"/>
  <c r="AU64" i="39" s="1"/>
  <c r="AT61" i="39"/>
  <c r="AU61" i="39" s="1"/>
  <c r="AT50" i="39"/>
  <c r="AU50" i="39" s="1"/>
  <c r="AT49" i="39"/>
  <c r="AU49" i="39" s="1"/>
  <c r="AT63" i="39"/>
  <c r="AU63" i="39" s="1"/>
  <c r="AT60" i="39"/>
  <c r="AU60" i="39" s="1"/>
  <c r="AT67" i="39"/>
  <c r="AU67" i="39" s="1"/>
  <c r="AT52" i="39"/>
  <c r="AU52" i="39" s="1"/>
  <c r="AT66" i="39"/>
  <c r="AU66" i="39" s="1"/>
  <c r="AT59" i="39"/>
  <c r="AU59" i="39" s="1"/>
  <c r="AT57" i="39"/>
  <c r="AU57" i="39" s="1"/>
  <c r="AN22" i="39"/>
  <c r="AM22" i="39"/>
  <c r="AW28" i="39" s="1"/>
  <c r="AT28" i="39" s="1"/>
  <c r="AT65" i="39"/>
  <c r="AU65" i="39" s="1"/>
  <c r="AO83" i="39"/>
  <c r="AT83" i="39" s="1"/>
  <c r="AU28" i="39"/>
  <c r="AV28" i="39" s="1"/>
  <c r="AT82" i="39"/>
  <c r="AW32" i="38"/>
  <c r="AT32" i="38" s="1"/>
  <c r="AO25" i="38"/>
  <c r="AR25" i="38"/>
  <c r="AR87" i="38" s="1"/>
  <c r="AQ25" i="38"/>
  <c r="AQ87" i="38" s="1"/>
  <c r="AU31" i="38"/>
  <c r="AV31" i="38" s="1"/>
  <c r="AO86" i="38"/>
  <c r="AT86" i="38" s="1"/>
  <c r="DA213" i="50"/>
  <c r="BI7" i="50"/>
  <c r="BN10" i="50"/>
  <c r="A13" i="50"/>
  <c r="DA216" i="50"/>
  <c r="A16" i="50"/>
  <c r="BN13" i="50"/>
  <c r="BI10" i="50"/>
  <c r="DA222" i="50"/>
  <c r="A22" i="50"/>
  <c r="BI16" i="50"/>
  <c r="BN19" i="50"/>
  <c r="DA218" i="50"/>
  <c r="BI12" i="50"/>
  <c r="BN15" i="50"/>
  <c r="A18" i="50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AG14" i="40" l="1"/>
  <c r="AG3" i="40"/>
  <c r="BC12" i="40" s="1"/>
  <c r="AG2" i="40"/>
  <c r="AC43" i="40" s="1"/>
  <c r="AL47" i="40"/>
  <c r="AM48" i="40"/>
  <c r="AN48" i="40" s="1"/>
  <c r="Z44" i="40" a="1"/>
  <c r="DA214" i="48"/>
  <c r="A14" i="48"/>
  <c r="A60" i="49"/>
  <c r="BN11" i="48"/>
  <c r="BI8" i="48"/>
  <c r="DA212" i="48"/>
  <c r="BI6" i="48"/>
  <c r="A12" i="48"/>
  <c r="BN9" i="48"/>
  <c r="A58" i="49"/>
  <c r="AO22" i="39"/>
  <c r="AR22" i="39"/>
  <c r="AR84" i="39" s="1"/>
  <c r="AQ22" i="39"/>
  <c r="AQ84" i="39" s="1"/>
  <c r="AR46" i="39"/>
  <c r="AL23" i="39" s="1"/>
  <c r="AT53" i="39"/>
  <c r="AU53" i="39" s="1"/>
  <c r="AT56" i="39"/>
  <c r="AU56" i="39" s="1"/>
  <c r="AT58" i="39"/>
  <c r="AU58" i="39" s="1"/>
  <c r="AT54" i="39"/>
  <c r="AU54" i="39" s="1"/>
  <c r="AT62" i="39"/>
  <c r="AU62" i="39" s="1"/>
  <c r="AT51" i="39"/>
  <c r="AU51" i="39" s="1"/>
  <c r="AC50" i="39"/>
  <c r="AE49" i="39"/>
  <c r="DA219" i="48"/>
  <c r="A19" i="48"/>
  <c r="BI13" i="48"/>
  <c r="BN16" i="48"/>
  <c r="A65" i="49"/>
  <c r="AU32" i="38"/>
  <c r="AV32" i="38" s="1"/>
  <c r="AV26" i="38" s="1"/>
  <c r="AO87" i="38"/>
  <c r="AT87" i="38" s="1"/>
  <c r="AT89" i="38" s="1"/>
  <c r="AQ9" i="38" s="1"/>
  <c r="AO87" i="35"/>
  <c r="AT87" i="35" s="1"/>
  <c r="AT89" i="35" s="1"/>
  <c r="AQ9" i="35" s="1"/>
  <c r="AU32" i="35"/>
  <c r="AV32" i="35" s="1"/>
  <c r="AV26" i="35" s="1"/>
  <c r="Z63" i="40" l="1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M59" i="40"/>
  <c r="AN59" i="40" s="1"/>
  <c r="AM65" i="40"/>
  <c r="AN65" i="40" s="1"/>
  <c r="AM66" i="40"/>
  <c r="AN66" i="40" s="1"/>
  <c r="AM67" i="40"/>
  <c r="AN67" i="40" s="1"/>
  <c r="AL46" i="40"/>
  <c r="AL20" i="40" s="1"/>
  <c r="AM63" i="40"/>
  <c r="AN63" i="40" s="1"/>
  <c r="AM62" i="40"/>
  <c r="AN62" i="40" s="1"/>
  <c r="AM60" i="40"/>
  <c r="AN60" i="40" s="1"/>
  <c r="AM61" i="40"/>
  <c r="AN61" i="40" s="1"/>
  <c r="AM64" i="40"/>
  <c r="AN64" i="40" s="1"/>
  <c r="AM49" i="40"/>
  <c r="AN49" i="40" s="1"/>
  <c r="AM57" i="40"/>
  <c r="AN57" i="40" s="1"/>
  <c r="AM53" i="40"/>
  <c r="AN53" i="40" s="1"/>
  <c r="AM58" i="40"/>
  <c r="AN58" i="40" s="1"/>
  <c r="AM51" i="40"/>
  <c r="AN51" i="40" s="1"/>
  <c r="AM55" i="40"/>
  <c r="AN55" i="40" s="1"/>
  <c r="AM56" i="40"/>
  <c r="AN56" i="40" s="1"/>
  <c r="AM52" i="40"/>
  <c r="AN52" i="40" s="1"/>
  <c r="AM50" i="40"/>
  <c r="AN50" i="40" s="1"/>
  <c r="AM54" i="40"/>
  <c r="AN54" i="40" s="1"/>
  <c r="AC44" i="40"/>
  <c r="BC23" i="40"/>
  <c r="BC25" i="40"/>
  <c r="BC24" i="40"/>
  <c r="BC29" i="40"/>
  <c r="BG7" i="40" s="1"/>
  <c r="BK51" i="40" s="1"/>
  <c r="T13" i="40" s="1"/>
  <c r="U13" i="40" s="1"/>
  <c r="DA214" i="49"/>
  <c r="BN11" i="49"/>
  <c r="BI8" i="49"/>
  <c r="A60" i="50"/>
  <c r="A14" i="49"/>
  <c r="DA212" i="49"/>
  <c r="A58" i="50"/>
  <c r="A12" i="49"/>
  <c r="BI6" i="49"/>
  <c r="BN9" i="49"/>
  <c r="DA219" i="49"/>
  <c r="A65" i="50"/>
  <c r="BI13" i="49"/>
  <c r="A19" i="49"/>
  <c r="BN16" i="49"/>
  <c r="AC51" i="39"/>
  <c r="AE50" i="39"/>
  <c r="AU47" i="39"/>
  <c r="AV62" i="39"/>
  <c r="AW62" i="39" s="1"/>
  <c r="AV54" i="39"/>
  <c r="AW54" i="39" s="1"/>
  <c r="AV58" i="39"/>
  <c r="AW58" i="39" s="1"/>
  <c r="AV56" i="39"/>
  <c r="AW56" i="39" s="1"/>
  <c r="AV53" i="39"/>
  <c r="AW53" i="39" s="1"/>
  <c r="AN23" i="39"/>
  <c r="AM23" i="39"/>
  <c r="AW29" i="39" s="1"/>
  <c r="AT29" i="39" s="1"/>
  <c r="AO84" i="39"/>
  <c r="AT84" i="39" s="1"/>
  <c r="AU29" i="39"/>
  <c r="AV29" i="39" s="1"/>
  <c r="DF213" i="40" l="1"/>
  <c r="U13" i="49"/>
  <c r="U13" i="47"/>
  <c r="U13" i="48"/>
  <c r="U13" i="43"/>
  <c r="U13" i="41"/>
  <c r="U13" i="46"/>
  <c r="U13" i="45"/>
  <c r="U13" i="50"/>
  <c r="U13" i="44"/>
  <c r="DE213" i="40"/>
  <c r="T13" i="46"/>
  <c r="T13" i="43"/>
  <c r="T13" i="47"/>
  <c r="T13" i="45"/>
  <c r="T13" i="41"/>
  <c r="T13" i="49"/>
  <c r="T13" i="44"/>
  <c r="T13" i="50"/>
  <c r="T13" i="48"/>
  <c r="BG19" i="40"/>
  <c r="BK63" i="40" s="1"/>
  <c r="T25" i="40" s="1"/>
  <c r="U25" i="40" s="1"/>
  <c r="BG10" i="40"/>
  <c r="BK54" i="40" s="1"/>
  <c r="T16" i="40" s="1"/>
  <c r="U16" i="40" s="1"/>
  <c r="BG14" i="40"/>
  <c r="BK58" i="40" s="1"/>
  <c r="T20" i="40" s="1"/>
  <c r="U20" i="40" s="1"/>
  <c r="BG5" i="40"/>
  <c r="BG22" i="40"/>
  <c r="BK66" i="40" s="1"/>
  <c r="BG24" i="40"/>
  <c r="BK68" i="40" s="1"/>
  <c r="BG13" i="40"/>
  <c r="BK57" i="40" s="1"/>
  <c r="T19" i="40" s="1"/>
  <c r="U19" i="40" s="1"/>
  <c r="BG21" i="40"/>
  <c r="BK65" i="40" s="1"/>
  <c r="T27" i="40" s="1"/>
  <c r="U27" i="40" s="1"/>
  <c r="BG18" i="40"/>
  <c r="BK62" i="40" s="1"/>
  <c r="T24" i="40" s="1"/>
  <c r="U24" i="40" s="1"/>
  <c r="BG6" i="40"/>
  <c r="BK50" i="40" s="1"/>
  <c r="T12" i="40" s="1"/>
  <c r="U12" i="40" s="1"/>
  <c r="BG17" i="40"/>
  <c r="BK61" i="40" s="1"/>
  <c r="T23" i="40" s="1"/>
  <c r="U23" i="40" s="1"/>
  <c r="BG11" i="40"/>
  <c r="BK55" i="40" s="1"/>
  <c r="T17" i="40" s="1"/>
  <c r="U17" i="40" s="1"/>
  <c r="BG20" i="40"/>
  <c r="BK64" i="40" s="1"/>
  <c r="T26" i="40" s="1"/>
  <c r="U26" i="40" s="1"/>
  <c r="BG15" i="40"/>
  <c r="BK59" i="40" s="1"/>
  <c r="T21" i="40" s="1"/>
  <c r="U21" i="40" s="1"/>
  <c r="BG12" i="40"/>
  <c r="BK56" i="40" s="1"/>
  <c r="T18" i="40" s="1"/>
  <c r="U18" i="40" s="1"/>
  <c r="BG9" i="40"/>
  <c r="BK53" i="40" s="1"/>
  <c r="T15" i="40" s="1"/>
  <c r="U15" i="40" s="1"/>
  <c r="BG16" i="40"/>
  <c r="BK60" i="40" s="1"/>
  <c r="T22" i="40" s="1"/>
  <c r="U22" i="40" s="1"/>
  <c r="BG8" i="40"/>
  <c r="BK52" i="40" s="1"/>
  <c r="T14" i="40" s="1"/>
  <c r="U14" i="40" s="1"/>
  <c r="BG23" i="40"/>
  <c r="BK67" i="40" s="1"/>
  <c r="AE44" i="40"/>
  <c r="AC45" i="40"/>
  <c r="AN47" i="40"/>
  <c r="AO64" i="40"/>
  <c r="AP64" i="40" s="1"/>
  <c r="AO61" i="40"/>
  <c r="AP61" i="40" s="1"/>
  <c r="AO60" i="40"/>
  <c r="AP60" i="40" s="1"/>
  <c r="AO62" i="40"/>
  <c r="AP62" i="40" s="1"/>
  <c r="AO63" i="40"/>
  <c r="AP63" i="40" s="1"/>
  <c r="AN20" i="40"/>
  <c r="AO67" i="40"/>
  <c r="AP67" i="40" s="1"/>
  <c r="AO66" i="40"/>
  <c r="AP66" i="40" s="1"/>
  <c r="AO65" i="40"/>
  <c r="AP65" i="40" s="1"/>
  <c r="AO59" i="40"/>
  <c r="AP59" i="40" s="1"/>
  <c r="DA214" i="50"/>
  <c r="BN11" i="50"/>
  <c r="BI8" i="50"/>
  <c r="A14" i="50"/>
  <c r="DA212" i="50"/>
  <c r="BI6" i="50"/>
  <c r="BN9" i="50"/>
  <c r="A12" i="50"/>
  <c r="AR23" i="39"/>
  <c r="AR85" i="39" s="1"/>
  <c r="AO23" i="39"/>
  <c r="AQ23" i="39"/>
  <c r="AQ85" i="39" s="1"/>
  <c r="AU46" i="39"/>
  <c r="AL24" i="39" s="1"/>
  <c r="AV65" i="39"/>
  <c r="AW65" i="39" s="1"/>
  <c r="AV57" i="39"/>
  <c r="AW57" i="39" s="1"/>
  <c r="AV59" i="39"/>
  <c r="AW59" i="39" s="1"/>
  <c r="AV66" i="39"/>
  <c r="AW66" i="39" s="1"/>
  <c r="AV52" i="39"/>
  <c r="AW52" i="39" s="1"/>
  <c r="AV67" i="39"/>
  <c r="AW67" i="39" s="1"/>
  <c r="AV60" i="39"/>
  <c r="AW60" i="39" s="1"/>
  <c r="AV63" i="39"/>
  <c r="AW63" i="39" s="1"/>
  <c r="AV49" i="39"/>
  <c r="AW49" i="39" s="1"/>
  <c r="AV50" i="39"/>
  <c r="AW50" i="39" s="1"/>
  <c r="AV61" i="39"/>
  <c r="AW61" i="39" s="1"/>
  <c r="AV64" i="39"/>
  <c r="AW64" i="39" s="1"/>
  <c r="AV55" i="39"/>
  <c r="AW55" i="39" s="1"/>
  <c r="AV48" i="39"/>
  <c r="AW48" i="39" s="1"/>
  <c r="AV51" i="39"/>
  <c r="AW51" i="39" s="1"/>
  <c r="AC52" i="39"/>
  <c r="AE51" i="39"/>
  <c r="DA219" i="50"/>
  <c r="BN16" i="50"/>
  <c r="A19" i="50"/>
  <c r="BI13" i="50"/>
  <c r="DF214" i="40" l="1"/>
  <c r="U14" i="41"/>
  <c r="U14" i="44"/>
  <c r="U14" i="43"/>
  <c r="U14" i="47"/>
  <c r="U14" i="45"/>
  <c r="U14" i="48"/>
  <c r="U14" i="49"/>
  <c r="U14" i="50"/>
  <c r="U14" i="46"/>
  <c r="DF222" i="40"/>
  <c r="U22" i="49"/>
  <c r="U22" i="46"/>
  <c r="U22" i="41"/>
  <c r="U22" i="43"/>
  <c r="U22" i="50"/>
  <c r="U22" i="45"/>
  <c r="U22" i="44"/>
  <c r="U22" i="47"/>
  <c r="U22" i="48"/>
  <c r="DF215" i="40"/>
  <c r="U15" i="47"/>
  <c r="U15" i="50"/>
  <c r="U15" i="49"/>
  <c r="U15" i="43"/>
  <c r="U15" i="46"/>
  <c r="U15" i="48"/>
  <c r="U15" i="45"/>
  <c r="U15" i="44"/>
  <c r="U15" i="41"/>
  <c r="DF218" i="40"/>
  <c r="U18" i="41"/>
  <c r="U18" i="48"/>
  <c r="U18" i="50"/>
  <c r="U18" i="49"/>
  <c r="U18" i="47"/>
  <c r="U18" i="43"/>
  <c r="U18" i="44"/>
  <c r="U18" i="45"/>
  <c r="U18" i="46"/>
  <c r="DF221" i="40"/>
  <c r="U21" i="48"/>
  <c r="U21" i="45"/>
  <c r="U21" i="50"/>
  <c r="U21" i="43"/>
  <c r="U21" i="41"/>
  <c r="U21" i="44"/>
  <c r="U21" i="49"/>
  <c r="U21" i="46"/>
  <c r="U21" i="47"/>
  <c r="DF226" i="40"/>
  <c r="U26" i="50"/>
  <c r="U26" i="46"/>
  <c r="U26" i="48"/>
  <c r="U26" i="43"/>
  <c r="U26" i="44"/>
  <c r="U26" i="45"/>
  <c r="U26" i="41"/>
  <c r="AA29" i="41" s="1"/>
  <c r="U26" i="47"/>
  <c r="U26" i="49"/>
  <c r="A26" i="40"/>
  <c r="DF217" i="40"/>
  <c r="U17" i="47"/>
  <c r="U17" i="50"/>
  <c r="U17" i="46"/>
  <c r="U17" i="44"/>
  <c r="U17" i="43"/>
  <c r="U17" i="49"/>
  <c r="U17" i="41"/>
  <c r="U17" i="45"/>
  <c r="U17" i="48"/>
  <c r="A17" i="40"/>
  <c r="DF223" i="40"/>
  <c r="U23" i="43"/>
  <c r="U23" i="49"/>
  <c r="U23" i="41"/>
  <c r="AA26" i="41" s="1"/>
  <c r="U23" i="48"/>
  <c r="U23" i="47"/>
  <c r="U23" i="50"/>
  <c r="U23" i="46"/>
  <c r="U23" i="45"/>
  <c r="U23" i="44"/>
  <c r="A23" i="40"/>
  <c r="DF212" i="40"/>
  <c r="U12" i="46"/>
  <c r="U12" i="41"/>
  <c r="U12" i="49"/>
  <c r="U12" i="43"/>
  <c r="U12" i="48"/>
  <c r="U12" i="47"/>
  <c r="U12" i="50"/>
  <c r="U12" i="44"/>
  <c r="U12" i="45"/>
  <c r="DF224" i="40"/>
  <c r="U24" i="41"/>
  <c r="AA27" i="41" s="1"/>
  <c r="U24" i="45"/>
  <c r="U24" i="50"/>
  <c r="U24" i="47"/>
  <c r="U24" i="44"/>
  <c r="U24" i="43"/>
  <c r="U24" i="46"/>
  <c r="U24" i="49"/>
  <c r="U24" i="48"/>
  <c r="A24" i="40"/>
  <c r="DF227" i="40"/>
  <c r="U27" i="47"/>
  <c r="U27" i="45"/>
  <c r="U27" i="50"/>
  <c r="U27" i="41"/>
  <c r="AA30" i="41" s="1"/>
  <c r="U27" i="44"/>
  <c r="U27" i="48"/>
  <c r="U27" i="43"/>
  <c r="U27" i="46"/>
  <c r="U27" i="49"/>
  <c r="A27" i="40"/>
  <c r="DF219" i="40"/>
  <c r="U19" i="47"/>
  <c r="U19" i="41"/>
  <c r="U19" i="45"/>
  <c r="U19" i="48"/>
  <c r="U19" i="50"/>
  <c r="U19" i="44"/>
  <c r="U19" i="43"/>
  <c r="U19" i="46"/>
  <c r="U19" i="49"/>
  <c r="DF220" i="40"/>
  <c r="U20" i="41"/>
  <c r="U20" i="48"/>
  <c r="U20" i="43"/>
  <c r="U20" i="47"/>
  <c r="U20" i="44"/>
  <c r="U20" i="49"/>
  <c r="U20" i="46"/>
  <c r="U20" i="50"/>
  <c r="U20" i="45"/>
  <c r="A20" i="40"/>
  <c r="DF216" i="40"/>
  <c r="U16" i="49"/>
  <c r="U16" i="43"/>
  <c r="U16" i="45"/>
  <c r="U16" i="44"/>
  <c r="U16" i="46"/>
  <c r="U16" i="41"/>
  <c r="U16" i="50"/>
  <c r="U16" i="48"/>
  <c r="U16" i="47"/>
  <c r="DF225" i="40"/>
  <c r="U25" i="41"/>
  <c r="AA28" i="41" s="1"/>
  <c r="U25" i="44"/>
  <c r="U25" i="49"/>
  <c r="U25" i="48"/>
  <c r="U25" i="46"/>
  <c r="U25" i="43"/>
  <c r="U25" i="50"/>
  <c r="U25" i="45"/>
  <c r="U25" i="47"/>
  <c r="A25" i="40"/>
  <c r="AA16" i="41"/>
  <c r="BJ7" i="41"/>
  <c r="AQ20" i="40"/>
  <c r="AQ82" i="40" s="1"/>
  <c r="AO55" i="40"/>
  <c r="AP55" i="40" s="1"/>
  <c r="AN46" i="40"/>
  <c r="AL21" i="40" s="1"/>
  <c r="AO48" i="40"/>
  <c r="AP48" i="40" s="1"/>
  <c r="AO54" i="40"/>
  <c r="AP54" i="40" s="1"/>
  <c r="AO50" i="40"/>
  <c r="AP50" i="40" s="1"/>
  <c r="AO52" i="40"/>
  <c r="AP52" i="40" s="1"/>
  <c r="AO56" i="40"/>
  <c r="AP56" i="40" s="1"/>
  <c r="AO51" i="40"/>
  <c r="AP51" i="40" s="1"/>
  <c r="AO58" i="40"/>
  <c r="AP58" i="40" s="1"/>
  <c r="AO53" i="40"/>
  <c r="AP53" i="40" s="1"/>
  <c r="AO57" i="40"/>
  <c r="AP57" i="40" s="1"/>
  <c r="AO49" i="40"/>
  <c r="AP49" i="40" s="1"/>
  <c r="AE45" i="40"/>
  <c r="AC46" i="40"/>
  <c r="T14" i="41"/>
  <c r="DE214" i="40"/>
  <c r="T14" i="46"/>
  <c r="T14" i="47"/>
  <c r="T14" i="49"/>
  <c r="T14" i="43"/>
  <c r="T14" i="44"/>
  <c r="T14" i="45"/>
  <c r="T14" i="50"/>
  <c r="T14" i="48"/>
  <c r="T22" i="41"/>
  <c r="DE222" i="40"/>
  <c r="T22" i="47"/>
  <c r="T22" i="50"/>
  <c r="T22" i="49"/>
  <c r="T22" i="45"/>
  <c r="T22" i="46"/>
  <c r="T22" i="48"/>
  <c r="T22" i="43"/>
  <c r="T22" i="44"/>
  <c r="T15" i="47"/>
  <c r="DE215" i="40"/>
  <c r="T15" i="41"/>
  <c r="T15" i="46"/>
  <c r="T15" i="44"/>
  <c r="T15" i="48"/>
  <c r="T15" i="45"/>
  <c r="T15" i="50"/>
  <c r="T15" i="43"/>
  <c r="T15" i="49"/>
  <c r="T18" i="49"/>
  <c r="DE218" i="40"/>
  <c r="T18" i="48"/>
  <c r="T18" i="46"/>
  <c r="T18" i="45"/>
  <c r="T18" i="41"/>
  <c r="T18" i="43"/>
  <c r="T18" i="44"/>
  <c r="T18" i="47"/>
  <c r="T18" i="50"/>
  <c r="T21" i="48"/>
  <c r="DE221" i="40"/>
  <c r="T21" i="44"/>
  <c r="T21" i="41"/>
  <c r="T21" i="50"/>
  <c r="T21" i="43"/>
  <c r="T21" i="49"/>
  <c r="T21" i="45"/>
  <c r="T21" i="47"/>
  <c r="T21" i="46"/>
  <c r="DE226" i="40"/>
  <c r="T26" i="50"/>
  <c r="T26" i="45"/>
  <c r="T26" i="43"/>
  <c r="T26" i="47"/>
  <c r="T26" i="44"/>
  <c r="T26" i="49"/>
  <c r="T26" i="46"/>
  <c r="T26" i="48"/>
  <c r="T26" i="41"/>
  <c r="T17" i="46"/>
  <c r="DE217" i="40"/>
  <c r="T17" i="45"/>
  <c r="T17" i="43"/>
  <c r="T17" i="44"/>
  <c r="T17" i="47"/>
  <c r="T17" i="50"/>
  <c r="T17" i="49"/>
  <c r="T17" i="48"/>
  <c r="T17" i="41"/>
  <c r="T23" i="46"/>
  <c r="T23" i="48"/>
  <c r="DE223" i="40"/>
  <c r="T23" i="50"/>
  <c r="T23" i="45"/>
  <c r="T23" i="47"/>
  <c r="T23" i="44"/>
  <c r="T23" i="49"/>
  <c r="T23" i="41"/>
  <c r="T23" i="43"/>
  <c r="T12" i="48"/>
  <c r="DE212" i="40"/>
  <c r="T12" i="46"/>
  <c r="T12" i="49"/>
  <c r="T12" i="43"/>
  <c r="T12" i="44"/>
  <c r="T12" i="45"/>
  <c r="T12" i="41"/>
  <c r="T12" i="47"/>
  <c r="T12" i="50"/>
  <c r="DE224" i="40"/>
  <c r="T24" i="47"/>
  <c r="T24" i="44"/>
  <c r="T24" i="43"/>
  <c r="T24" i="46"/>
  <c r="T24" i="41"/>
  <c r="T24" i="50"/>
  <c r="T24" i="48"/>
  <c r="T24" i="45"/>
  <c r="T24" i="49"/>
  <c r="DE227" i="40"/>
  <c r="T27" i="41"/>
  <c r="T27" i="44"/>
  <c r="T27" i="45"/>
  <c r="T27" i="47"/>
  <c r="T27" i="46"/>
  <c r="T27" i="50"/>
  <c r="T27" i="48"/>
  <c r="T27" i="49"/>
  <c r="T27" i="43"/>
  <c r="T19" i="41"/>
  <c r="DE219" i="40"/>
  <c r="T19" i="49"/>
  <c r="T19" i="45"/>
  <c r="T19" i="47"/>
  <c r="T19" i="44"/>
  <c r="T19" i="50"/>
  <c r="T19" i="43"/>
  <c r="T19" i="46"/>
  <c r="T19" i="48"/>
  <c r="BK49" i="40"/>
  <c r="T11" i="40" s="1"/>
  <c r="U11" i="40" s="1"/>
  <c r="BG25" i="40"/>
  <c r="BG27" i="40" s="1"/>
  <c r="BK70" i="40" s="1"/>
  <c r="T20" i="46"/>
  <c r="DE220" i="40"/>
  <c r="T20" i="48"/>
  <c r="T20" i="41"/>
  <c r="T20" i="44"/>
  <c r="T20" i="47"/>
  <c r="T20" i="43"/>
  <c r="T20" i="49"/>
  <c r="T20" i="50"/>
  <c r="T20" i="45"/>
  <c r="T16" i="44"/>
  <c r="DE216" i="40"/>
  <c r="T16" i="48"/>
  <c r="T16" i="43"/>
  <c r="T16" i="46"/>
  <c r="T16" i="45"/>
  <c r="T16" i="50"/>
  <c r="T16" i="41"/>
  <c r="T16" i="47"/>
  <c r="T16" i="49"/>
  <c r="T25" i="43"/>
  <c r="T25" i="48"/>
  <c r="T25" i="44"/>
  <c r="T25" i="46"/>
  <c r="T25" i="49"/>
  <c r="T25" i="45"/>
  <c r="T25" i="50"/>
  <c r="T25" i="41"/>
  <c r="DE225" i="40"/>
  <c r="T25" i="47"/>
  <c r="AC53" i="39"/>
  <c r="AE52" i="39"/>
  <c r="AW47" i="39"/>
  <c r="AW46" i="39" s="1"/>
  <c r="AL25" i="39" s="1"/>
  <c r="AN24" i="39"/>
  <c r="AM24" i="39"/>
  <c r="AW30" i="39" s="1"/>
  <c r="AT30" i="39" s="1"/>
  <c r="AO85" i="39"/>
  <c r="AT85" i="39" s="1"/>
  <c r="AU30" i="39"/>
  <c r="AV30" i="39" s="1"/>
  <c r="DF211" i="40" l="1"/>
  <c r="U32" i="40"/>
  <c r="U11" i="46"/>
  <c r="U11" i="49"/>
  <c r="U11" i="43"/>
  <c r="U11" i="48"/>
  <c r="U11" i="45"/>
  <c r="U11" i="47"/>
  <c r="U11" i="44"/>
  <c r="U11" i="50"/>
  <c r="U11" i="41"/>
  <c r="A11" i="40"/>
  <c r="AE16" i="41"/>
  <c r="AC16" i="41"/>
  <c r="BO10" i="41"/>
  <c r="AK50" i="41"/>
  <c r="AL50" i="41" s="1"/>
  <c r="DA225" i="40"/>
  <c r="BN22" i="40"/>
  <c r="A25" i="41"/>
  <c r="BI19" i="40"/>
  <c r="AE28" i="41"/>
  <c r="AF28" i="41" s="1"/>
  <c r="AG28" i="41" s="1"/>
  <c r="AK62" i="41"/>
  <c r="AL62" i="41" s="1"/>
  <c r="BO22" i="41"/>
  <c r="AC28" i="41"/>
  <c r="AA19" i="41"/>
  <c r="BJ10" i="41"/>
  <c r="DA220" i="40"/>
  <c r="A20" i="41"/>
  <c r="BN17" i="40"/>
  <c r="BI14" i="40"/>
  <c r="AA23" i="41"/>
  <c r="BJ14" i="41"/>
  <c r="AA22" i="41"/>
  <c r="BJ13" i="41"/>
  <c r="DA227" i="40"/>
  <c r="A27" i="41"/>
  <c r="BN24" i="40"/>
  <c r="BI21" i="40"/>
  <c r="AE30" i="41"/>
  <c r="AF30" i="41" s="1"/>
  <c r="AG30" i="41" s="1"/>
  <c r="AC30" i="41"/>
  <c r="AK64" i="41"/>
  <c r="AL64" i="41" s="1"/>
  <c r="BO24" i="41"/>
  <c r="DA224" i="40"/>
  <c r="BI18" i="40"/>
  <c r="BN21" i="40"/>
  <c r="A24" i="41"/>
  <c r="AE27" i="41"/>
  <c r="AF27" i="41" s="1"/>
  <c r="AG27" i="41" s="1"/>
  <c r="AC27" i="41"/>
  <c r="BO21" i="41"/>
  <c r="AK61" i="41"/>
  <c r="AL61" i="41" s="1"/>
  <c r="AA15" i="41"/>
  <c r="BJ6" i="41"/>
  <c r="DA223" i="40"/>
  <c r="A23" i="41"/>
  <c r="BN20" i="40"/>
  <c r="BI17" i="40"/>
  <c r="AE26" i="41"/>
  <c r="AF26" i="41" s="1"/>
  <c r="AG26" i="41" s="1"/>
  <c r="AC26" i="41"/>
  <c r="AK60" i="41"/>
  <c r="AL60" i="41" s="1"/>
  <c r="BO20" i="41"/>
  <c r="DA217" i="40"/>
  <c r="BN14" i="40"/>
  <c r="BI11" i="40"/>
  <c r="A17" i="41"/>
  <c r="AA20" i="41"/>
  <c r="BJ11" i="41"/>
  <c r="DA226" i="40"/>
  <c r="A26" i="41"/>
  <c r="BN23" i="40"/>
  <c r="BI20" i="40"/>
  <c r="AE29" i="41"/>
  <c r="AF29" i="41" s="1"/>
  <c r="AG29" i="41" s="1"/>
  <c r="AC29" i="41"/>
  <c r="AK63" i="41"/>
  <c r="AL63" i="41" s="1"/>
  <c r="BO23" i="41"/>
  <c r="AA24" i="41"/>
  <c r="BJ15" i="41"/>
  <c r="AA21" i="41"/>
  <c r="BJ12" i="41"/>
  <c r="AA18" i="41"/>
  <c r="BJ9" i="41"/>
  <c r="AA25" i="41"/>
  <c r="BJ16" i="41"/>
  <c r="AA17" i="41"/>
  <c r="BJ8" i="41"/>
  <c r="DE211" i="40"/>
  <c r="T11" i="45"/>
  <c r="T11" i="47"/>
  <c r="T11" i="44"/>
  <c r="T11" i="49"/>
  <c r="T11" i="41"/>
  <c r="T11" i="48"/>
  <c r="T11" i="46"/>
  <c r="T11" i="43"/>
  <c r="T11" i="50"/>
  <c r="AE46" i="40"/>
  <c r="AC47" i="40"/>
  <c r="AP47" i="40"/>
  <c r="AQ48" i="40"/>
  <c r="AR48" i="40" s="1"/>
  <c r="AN21" i="40"/>
  <c r="AM21" i="40"/>
  <c r="AO20" i="40"/>
  <c r="AQ55" i="40"/>
  <c r="AR55" i="40" s="1"/>
  <c r="AQ24" i="39"/>
  <c r="AQ86" i="39" s="1"/>
  <c r="AR24" i="39"/>
  <c r="AR86" i="39" s="1"/>
  <c r="AO24" i="39"/>
  <c r="AM25" i="39"/>
  <c r="AW31" i="39" s="1"/>
  <c r="AT31" i="39" s="1"/>
  <c r="AN25" i="39"/>
  <c r="AC54" i="39"/>
  <c r="AE53" i="39"/>
  <c r="AE17" i="41" l="1"/>
  <c r="AK51" i="41"/>
  <c r="AL51" i="41" s="1"/>
  <c r="AC17" i="41"/>
  <c r="BO11" i="41"/>
  <c r="AE25" i="41"/>
  <c r="AF25" i="41" s="1"/>
  <c r="AG25" i="41" s="1"/>
  <c r="BO19" i="41"/>
  <c r="AC25" i="41"/>
  <c r="AK59" i="41"/>
  <c r="AL59" i="41" s="1"/>
  <c r="AE18" i="41"/>
  <c r="AK52" i="41"/>
  <c r="AL52" i="41" s="1"/>
  <c r="BO12" i="41"/>
  <c r="AC18" i="41"/>
  <c r="AE21" i="41"/>
  <c r="AC21" i="41"/>
  <c r="BO15" i="41"/>
  <c r="AK55" i="41"/>
  <c r="AL55" i="41" s="1"/>
  <c r="AE24" i="41"/>
  <c r="AF24" i="41" s="1"/>
  <c r="AG24" i="41" s="1"/>
  <c r="AK58" i="41"/>
  <c r="AL58" i="41" s="1"/>
  <c r="BO18" i="41"/>
  <c r="AC24" i="41"/>
  <c r="DA226" i="41"/>
  <c r="A72" i="43"/>
  <c r="BN23" i="41"/>
  <c r="BI20" i="41"/>
  <c r="AE20" i="41"/>
  <c r="AF20" i="41" s="1"/>
  <c r="AG20" i="41" s="1"/>
  <c r="BO14" i="41"/>
  <c r="AC20" i="41"/>
  <c r="AK54" i="41"/>
  <c r="AL54" i="41" s="1"/>
  <c r="DA217" i="41"/>
  <c r="BI11" i="41"/>
  <c r="BN14" i="41"/>
  <c r="A63" i="43"/>
  <c r="DA223" i="41"/>
  <c r="BN20" i="41"/>
  <c r="A69" i="43"/>
  <c r="BI17" i="41"/>
  <c r="AE15" i="41"/>
  <c r="AF15" i="41" s="1"/>
  <c r="AG15" i="41" s="1"/>
  <c r="BO9" i="41"/>
  <c r="AK49" i="41"/>
  <c r="AL49" i="41" s="1"/>
  <c r="AC15" i="41"/>
  <c r="DA224" i="41"/>
  <c r="A70" i="43"/>
  <c r="BN21" i="41"/>
  <c r="BI18" i="41"/>
  <c r="DA227" i="41"/>
  <c r="BI21" i="41"/>
  <c r="A73" i="43"/>
  <c r="BN24" i="41"/>
  <c r="AE22" i="41"/>
  <c r="AF22" i="41" s="1"/>
  <c r="AG22" i="41" s="1"/>
  <c r="AK56" i="41"/>
  <c r="AL56" i="41" s="1"/>
  <c r="AC22" i="41"/>
  <c r="BO16" i="41"/>
  <c r="AE23" i="41"/>
  <c r="AF23" i="41" s="1"/>
  <c r="AG23" i="41" s="1"/>
  <c r="AC23" i="41"/>
  <c r="AK57" i="41"/>
  <c r="AL57" i="41" s="1"/>
  <c r="BO17" i="41"/>
  <c r="DA220" i="41"/>
  <c r="A66" i="43"/>
  <c r="BN17" i="41"/>
  <c r="BI14" i="41"/>
  <c r="AE19" i="41"/>
  <c r="AF19" i="41" s="1"/>
  <c r="AG19" i="41" s="1"/>
  <c r="BO13" i="41"/>
  <c r="AK53" i="41"/>
  <c r="AL53" i="41" s="1"/>
  <c r="AC19" i="41"/>
  <c r="DA225" i="41"/>
  <c r="BN22" i="41"/>
  <c r="BI19" i="41"/>
  <c r="A71" i="43"/>
  <c r="AF16" i="41"/>
  <c r="AG16" i="41" s="1"/>
  <c r="DA211" i="40"/>
  <c r="BN8" i="40"/>
  <c r="BI5" i="40"/>
  <c r="A11" i="41"/>
  <c r="AA14" i="41"/>
  <c r="BJ5" i="41"/>
  <c r="DF232" i="40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O82" i="40"/>
  <c r="AU27" i="40"/>
  <c r="AV27" i="40" s="1"/>
  <c r="AQ6" i="40"/>
  <c r="AR20" i="40"/>
  <c r="AR82" i="40" s="1"/>
  <c r="AW27" i="40"/>
  <c r="AT27" i="40" s="1"/>
  <c r="AQ21" i="40"/>
  <c r="AQ83" i="40" s="1"/>
  <c r="AO21" i="40"/>
  <c r="AR21" i="40"/>
  <c r="AR83" i="40" s="1"/>
  <c r="AQ59" i="40"/>
  <c r="AR59" i="40" s="1"/>
  <c r="AP46" i="40"/>
  <c r="AL22" i="40" s="1"/>
  <c r="AQ65" i="40"/>
  <c r="AR65" i="40" s="1"/>
  <c r="AQ66" i="40"/>
  <c r="AR66" i="40" s="1"/>
  <c r="AQ67" i="40"/>
  <c r="AR67" i="40" s="1"/>
  <c r="AQ63" i="40"/>
  <c r="AR63" i="40" s="1"/>
  <c r="AQ62" i="40"/>
  <c r="AR62" i="40" s="1"/>
  <c r="AQ60" i="40"/>
  <c r="AR60" i="40" s="1"/>
  <c r="AQ61" i="40"/>
  <c r="AR61" i="40" s="1"/>
  <c r="AQ64" i="40"/>
  <c r="AR64" i="40" s="1"/>
  <c r="AQ49" i="40"/>
  <c r="AR49" i="40" s="1"/>
  <c r="AQ57" i="40"/>
  <c r="AR57" i="40" s="1"/>
  <c r="AQ53" i="40"/>
  <c r="AR53" i="40" s="1"/>
  <c r="AQ58" i="40"/>
  <c r="AR58" i="40" s="1"/>
  <c r="AQ51" i="40"/>
  <c r="AR51" i="40" s="1"/>
  <c r="AQ56" i="40"/>
  <c r="AR56" i="40" s="1"/>
  <c r="AQ52" i="40"/>
  <c r="AR52" i="40" s="1"/>
  <c r="AQ50" i="40"/>
  <c r="AR50" i="40" s="1"/>
  <c r="AQ54" i="40"/>
  <c r="AR54" i="40" s="1"/>
  <c r="AE47" i="40"/>
  <c r="AC48" i="40"/>
  <c r="AC55" i="39"/>
  <c r="AE54" i="39"/>
  <c r="AR25" i="39"/>
  <c r="AR87" i="39" s="1"/>
  <c r="AW32" i="39"/>
  <c r="AT32" i="39" s="1"/>
  <c r="AO25" i="39"/>
  <c r="AQ25" i="39"/>
  <c r="AQ87" i="39" s="1"/>
  <c r="AU31" i="39"/>
  <c r="AV31" i="39" s="1"/>
  <c r="AO86" i="39"/>
  <c r="AT86" i="39" s="1"/>
  <c r="AE14" i="41" l="1"/>
  <c r="AF14" i="41" s="1"/>
  <c r="AC14" i="41"/>
  <c r="BO8" i="41"/>
  <c r="AK48" i="41"/>
  <c r="AL48" i="41" s="1"/>
  <c r="DA211" i="41"/>
  <c r="BN8" i="41"/>
  <c r="A57" i="43"/>
  <c r="BI5" i="41"/>
  <c r="DA225" i="43"/>
  <c r="BI19" i="43"/>
  <c r="A71" i="44"/>
  <c r="BN22" i="43"/>
  <c r="DA220" i="43"/>
  <c r="A66" i="44"/>
  <c r="BN17" i="43"/>
  <c r="BI14" i="43"/>
  <c r="DA227" i="43"/>
  <c r="BI21" i="43"/>
  <c r="A73" i="44"/>
  <c r="BN24" i="43"/>
  <c r="DA224" i="43"/>
  <c r="BI18" i="43"/>
  <c r="A70" i="44"/>
  <c r="BN21" i="43"/>
  <c r="DA223" i="43"/>
  <c r="A69" i="44"/>
  <c r="BN20" i="43"/>
  <c r="BI17" i="43"/>
  <c r="DA217" i="43"/>
  <c r="BI11" i="43"/>
  <c r="BN14" i="43"/>
  <c r="A63" i="44"/>
  <c r="DA226" i="43"/>
  <c r="BI20" i="43"/>
  <c r="BN23" i="43"/>
  <c r="A72" i="44"/>
  <c r="AF21" i="41"/>
  <c r="AG21" i="41" s="1"/>
  <c r="AF18" i="41"/>
  <c r="AG18" i="41" s="1"/>
  <c r="AF17" i="41"/>
  <c r="AG17" i="41" s="1"/>
  <c r="AC49" i="40"/>
  <c r="AE48" i="40"/>
  <c r="AR47" i="40"/>
  <c r="AT64" i="40"/>
  <c r="AU64" i="40" s="1"/>
  <c r="AT61" i="40"/>
  <c r="AU61" i="40" s="1"/>
  <c r="AT60" i="40"/>
  <c r="AU60" i="40" s="1"/>
  <c r="AT62" i="40"/>
  <c r="AU62" i="40" s="1"/>
  <c r="AT63" i="40"/>
  <c r="AU63" i="40" s="1"/>
  <c r="AT67" i="40"/>
  <c r="AU67" i="40" s="1"/>
  <c r="AT65" i="40"/>
  <c r="AU65" i="40" s="1"/>
  <c r="AN22" i="40"/>
  <c r="AM22" i="40"/>
  <c r="AW28" i="40" s="1"/>
  <c r="AT28" i="40" s="1"/>
  <c r="AT59" i="40"/>
  <c r="AU59" i="40" s="1"/>
  <c r="AU28" i="40"/>
  <c r="AV28" i="40" s="1"/>
  <c r="AO83" i="40"/>
  <c r="AT83" i="40" s="1"/>
  <c r="AT82" i="40"/>
  <c r="AO87" i="39"/>
  <c r="AT87" i="39" s="1"/>
  <c r="AT89" i="39" s="1"/>
  <c r="AQ9" i="39" s="1"/>
  <c r="AU32" i="39"/>
  <c r="AV32" i="39" s="1"/>
  <c r="AV26" i="39" s="1"/>
  <c r="AC56" i="39"/>
  <c r="AE55" i="39"/>
  <c r="DA226" i="44" l="1"/>
  <c r="BI20" i="44"/>
  <c r="A26" i="44"/>
  <c r="BN23" i="44"/>
  <c r="A72" i="45"/>
  <c r="DA217" i="44"/>
  <c r="A63" i="45"/>
  <c r="BN14" i="44"/>
  <c r="BI11" i="44"/>
  <c r="A17" i="44"/>
  <c r="DA223" i="44"/>
  <c r="BI17" i="44"/>
  <c r="BN20" i="44"/>
  <c r="A23" i="44"/>
  <c r="A69" i="45"/>
  <c r="DA224" i="44"/>
  <c r="A24" i="44"/>
  <c r="BI18" i="44"/>
  <c r="A70" i="45"/>
  <c r="BN21" i="44"/>
  <c r="DA227" i="44"/>
  <c r="BN24" i="44"/>
  <c r="BI21" i="44"/>
  <c r="A73" i="45"/>
  <c r="A27" i="44"/>
  <c r="DA220" i="44"/>
  <c r="BI14" i="44"/>
  <c r="BN17" i="44"/>
  <c r="A66" i="45"/>
  <c r="A20" i="44"/>
  <c r="DA225" i="44"/>
  <c r="BN22" i="44"/>
  <c r="BI19" i="44"/>
  <c r="A71" i="45"/>
  <c r="A25" i="44"/>
  <c r="DA211" i="43"/>
  <c r="BN8" i="43"/>
  <c r="A57" i="44"/>
  <c r="BI5" i="43"/>
  <c r="AL47" i="41"/>
  <c r="AM48" i="41"/>
  <c r="AN48" i="41" s="1"/>
  <c r="Z44" i="41" a="1"/>
  <c r="AG14" i="41"/>
  <c r="AG2" i="41"/>
  <c r="AG3" i="41"/>
  <c r="BC12" i="41" s="1"/>
  <c r="AQ22" i="40"/>
  <c r="AQ84" i="40" s="1"/>
  <c r="AR22" i="40"/>
  <c r="AR84" i="40" s="1"/>
  <c r="AO22" i="40"/>
  <c r="AT66" i="40"/>
  <c r="AU66" i="40" s="1"/>
  <c r="AR46" i="40"/>
  <c r="AL23" i="40" s="1"/>
  <c r="AT55" i="40"/>
  <c r="AU55" i="40" s="1"/>
  <c r="AT48" i="40"/>
  <c r="AU48" i="40" s="1"/>
  <c r="AT54" i="40"/>
  <c r="AU54" i="40" s="1"/>
  <c r="AT50" i="40"/>
  <c r="AU50" i="40" s="1"/>
  <c r="AT52" i="40"/>
  <c r="AU52" i="40" s="1"/>
  <c r="AT56" i="40"/>
  <c r="AU56" i="40" s="1"/>
  <c r="AT51" i="40"/>
  <c r="AU51" i="40" s="1"/>
  <c r="AT58" i="40"/>
  <c r="AU58" i="40" s="1"/>
  <c r="AT53" i="40"/>
  <c r="AU53" i="40" s="1"/>
  <c r="AT57" i="40"/>
  <c r="AU57" i="40" s="1"/>
  <c r="AT49" i="40"/>
  <c r="AU49" i="40" s="1"/>
  <c r="AC50" i="40"/>
  <c r="AE49" i="40"/>
  <c r="AE56" i="39"/>
  <c r="AC57" i="39"/>
  <c r="BC25" i="41" l="1"/>
  <c r="BC23" i="41"/>
  <c r="BC29" i="41"/>
  <c r="BC24" i="41"/>
  <c r="AC43" i="41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M60" i="41"/>
  <c r="AN60" i="41" s="1"/>
  <c r="AM67" i="41"/>
  <c r="AN67" i="41" s="1"/>
  <c r="AM66" i="41"/>
  <c r="AN66" i="41" s="1"/>
  <c r="AM65" i="41"/>
  <c r="AN65" i="41" s="1"/>
  <c r="AL46" i="41"/>
  <c r="AL20" i="41" s="1"/>
  <c r="AM63" i="41"/>
  <c r="AN63" i="41" s="1"/>
  <c r="AM61" i="41"/>
  <c r="AN61" i="41" s="1"/>
  <c r="AM64" i="41"/>
  <c r="AN64" i="41" s="1"/>
  <c r="AM62" i="41"/>
  <c r="AN62" i="41" s="1"/>
  <c r="AM50" i="41"/>
  <c r="AN50" i="41" s="1"/>
  <c r="AM53" i="41"/>
  <c r="AN53" i="41" s="1"/>
  <c r="AM57" i="41"/>
  <c r="AN57" i="41" s="1"/>
  <c r="AM56" i="41"/>
  <c r="AN56" i="41" s="1"/>
  <c r="AM49" i="41"/>
  <c r="AN49" i="41" s="1"/>
  <c r="AM54" i="41"/>
  <c r="AN54" i="41" s="1"/>
  <c r="AM58" i="41"/>
  <c r="AN58" i="41" s="1"/>
  <c r="AM55" i="41"/>
  <c r="AN55" i="41" s="1"/>
  <c r="AM52" i="41"/>
  <c r="AN52" i="41" s="1"/>
  <c r="AM59" i="41"/>
  <c r="AN59" i="41" s="1"/>
  <c r="AM51" i="41"/>
  <c r="AN51" i="41" s="1"/>
  <c r="DA211" i="44"/>
  <c r="A11" i="44"/>
  <c r="A57" i="45"/>
  <c r="BI5" i="44"/>
  <c r="BN8" i="44"/>
  <c r="DA225" i="45"/>
  <c r="BN22" i="45"/>
  <c r="A25" i="45"/>
  <c r="A71" i="46"/>
  <c r="BI19" i="45"/>
  <c r="DA220" i="45"/>
  <c r="BN17" i="45"/>
  <c r="A66" i="46"/>
  <c r="A20" i="45"/>
  <c r="BI14" i="45"/>
  <c r="DA227" i="45"/>
  <c r="BI21" i="45"/>
  <c r="BN24" i="45"/>
  <c r="A27" i="45"/>
  <c r="A73" i="46"/>
  <c r="DA224" i="45"/>
  <c r="BN21" i="45"/>
  <c r="A70" i="46"/>
  <c r="A24" i="45"/>
  <c r="BI18" i="45"/>
  <c r="DA223" i="45"/>
  <c r="A69" i="46"/>
  <c r="BI17" i="45"/>
  <c r="BN20" i="45"/>
  <c r="A23" i="45"/>
  <c r="DA217" i="45"/>
  <c r="A17" i="45"/>
  <c r="A63" i="46"/>
  <c r="BI11" i="45"/>
  <c r="BN14" i="45"/>
  <c r="DA226" i="45"/>
  <c r="BN23" i="45"/>
  <c r="A26" i="45"/>
  <c r="BI20" i="45"/>
  <c r="A72" i="46"/>
  <c r="AE50" i="40"/>
  <c r="AC51" i="40"/>
  <c r="AU47" i="40"/>
  <c r="AV48" i="40"/>
  <c r="AW48" i="40" s="1"/>
  <c r="AV55" i="40"/>
  <c r="AW55" i="40" s="1"/>
  <c r="AN23" i="40"/>
  <c r="AM23" i="40"/>
  <c r="AW29" i="40" s="1"/>
  <c r="AT29" i="40" s="1"/>
  <c r="AV66" i="40"/>
  <c r="AW66" i="40" s="1"/>
  <c r="AU29" i="40"/>
  <c r="AV29" i="40" s="1"/>
  <c r="AO84" i="40"/>
  <c r="AT84" i="40" s="1"/>
  <c r="AC58" i="39"/>
  <c r="AE57" i="39"/>
  <c r="DA226" i="46" l="1"/>
  <c r="BI20" i="46"/>
  <c r="BN23" i="46"/>
  <c r="A26" i="46"/>
  <c r="A72" i="47"/>
  <c r="DA217" i="46"/>
  <c r="BN14" i="46"/>
  <c r="A17" i="46"/>
  <c r="A63" i="47"/>
  <c r="BI11" i="46"/>
  <c r="DA223" i="46"/>
  <c r="A23" i="46"/>
  <c r="A69" i="47"/>
  <c r="BI17" i="46"/>
  <c r="BN20" i="46"/>
  <c r="DA224" i="46"/>
  <c r="BI18" i="46"/>
  <c r="BN21" i="46"/>
  <c r="A70" i="47"/>
  <c r="A24" i="46"/>
  <c r="DA227" i="46"/>
  <c r="BI21" i="46"/>
  <c r="BN24" i="46"/>
  <c r="A73" i="47"/>
  <c r="A27" i="46"/>
  <c r="DA220" i="46"/>
  <c r="A66" i="47"/>
  <c r="A20" i="46"/>
  <c r="BI14" i="46"/>
  <c r="BN17" i="46"/>
  <c r="DA225" i="46"/>
  <c r="BN22" i="46"/>
  <c r="A25" i="46"/>
  <c r="A71" i="47"/>
  <c r="BI19" i="46"/>
  <c r="DA211" i="45"/>
  <c r="A11" i="45"/>
  <c r="BI5" i="45"/>
  <c r="BN8" i="45"/>
  <c r="A57" i="46"/>
  <c r="AN47" i="41"/>
  <c r="AO56" i="41"/>
  <c r="AP56" i="41" s="1"/>
  <c r="AO57" i="41"/>
  <c r="AP57" i="41" s="1"/>
  <c r="AO53" i="41"/>
  <c r="AP53" i="41" s="1"/>
  <c r="AO50" i="41"/>
  <c r="AP50" i="41" s="1"/>
  <c r="AO62" i="41"/>
  <c r="AP62" i="41" s="1"/>
  <c r="AO64" i="41"/>
  <c r="AP64" i="41" s="1"/>
  <c r="AO61" i="41"/>
  <c r="AP61" i="41" s="1"/>
  <c r="AO63" i="41"/>
  <c r="AP63" i="41" s="1"/>
  <c r="AN20" i="41"/>
  <c r="AO65" i="41"/>
  <c r="AP65" i="41" s="1"/>
  <c r="AO66" i="41"/>
  <c r="AP66" i="41" s="1"/>
  <c r="AO67" i="41"/>
  <c r="AP67" i="41" s="1"/>
  <c r="AO60" i="41"/>
  <c r="AP60" i="41" s="1"/>
  <c r="AC44" i="41"/>
  <c r="BG6" i="41"/>
  <c r="BK50" i="41" s="1"/>
  <c r="V12" i="41" s="1"/>
  <c r="BG11" i="41"/>
  <c r="BK55" i="41" s="1"/>
  <c r="V17" i="41" s="1"/>
  <c r="BG20" i="41"/>
  <c r="BK64" i="41" s="1"/>
  <c r="V26" i="41" s="1"/>
  <c r="BG21" i="41"/>
  <c r="BK65" i="41" s="1"/>
  <c r="V27" i="41" s="1"/>
  <c r="BG17" i="41"/>
  <c r="BK61" i="41" s="1"/>
  <c r="V23" i="41" s="1"/>
  <c r="BG8" i="41"/>
  <c r="BK52" i="41" s="1"/>
  <c r="V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BG16" i="41"/>
  <c r="BK60" i="41" s="1"/>
  <c r="V22" i="41" s="1"/>
  <c r="BG9" i="41"/>
  <c r="BK53" i="41" s="1"/>
  <c r="V15" i="41" s="1"/>
  <c r="BG15" i="41"/>
  <c r="BK59" i="41" s="1"/>
  <c r="V21" i="41" s="1"/>
  <c r="BG23" i="41"/>
  <c r="BK67" i="41" s="1"/>
  <c r="BG7" i="41"/>
  <c r="BK51" i="41" s="1"/>
  <c r="V13" i="41" s="1"/>
  <c r="BG24" i="41"/>
  <c r="BK68" i="41" s="1"/>
  <c r="BG22" i="41"/>
  <c r="BK66" i="41" s="1"/>
  <c r="BG10" i="41"/>
  <c r="BK54" i="41" s="1"/>
  <c r="V16" i="41" s="1"/>
  <c r="BG12" i="41"/>
  <c r="BK56" i="41" s="1"/>
  <c r="V18" i="41" s="1"/>
  <c r="BG13" i="41"/>
  <c r="BK57" i="41" s="1"/>
  <c r="V19" i="41" s="1"/>
  <c r="AR23" i="40"/>
  <c r="AR85" i="40" s="1"/>
  <c r="AQ23" i="40"/>
  <c r="AQ85" i="40" s="1"/>
  <c r="AO23" i="40"/>
  <c r="AV52" i="40"/>
  <c r="AW52" i="40" s="1"/>
  <c r="AU46" i="40"/>
  <c r="AL24" i="40" s="1"/>
  <c r="AV59" i="40"/>
  <c r="AW59" i="40" s="1"/>
  <c r="AV65" i="40"/>
  <c r="AW65" i="40" s="1"/>
  <c r="AV67" i="40"/>
  <c r="AW67" i="40" s="1"/>
  <c r="AV63" i="40"/>
  <c r="AW63" i="40" s="1"/>
  <c r="AV62" i="40"/>
  <c r="AW62" i="40" s="1"/>
  <c r="AV60" i="40"/>
  <c r="AW60" i="40" s="1"/>
  <c r="AV61" i="40"/>
  <c r="AW61" i="40" s="1"/>
  <c r="AV64" i="40"/>
  <c r="AW64" i="40" s="1"/>
  <c r="AV49" i="40"/>
  <c r="AW49" i="40" s="1"/>
  <c r="AV57" i="40"/>
  <c r="AW57" i="40" s="1"/>
  <c r="AV53" i="40"/>
  <c r="AW53" i="40" s="1"/>
  <c r="AV58" i="40"/>
  <c r="AW58" i="40" s="1"/>
  <c r="AV51" i="40"/>
  <c r="AW51" i="40" s="1"/>
  <c r="AV56" i="40"/>
  <c r="AW56" i="40" s="1"/>
  <c r="AV50" i="40"/>
  <c r="AW50" i="40" s="1"/>
  <c r="AV54" i="40"/>
  <c r="AW54" i="40" s="1"/>
  <c r="AE51" i="40"/>
  <c r="AC52" i="40"/>
  <c r="AE58" i="39"/>
  <c r="AC59" i="39"/>
  <c r="DE219" i="41" l="1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DE218" i="41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DE216" i="41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DE213" i="41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DE221" i="41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DE215" i="4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DE222" i="41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DE220" i="41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BK49" i="41"/>
  <c r="V11" i="41" s="1"/>
  <c r="BG25" i="41"/>
  <c r="BG27" i="41" s="1"/>
  <c r="BK70" i="41" s="1"/>
  <c r="DE214" i="41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DE223" i="41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DE217" i="41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DE212" i="41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C45" i="41"/>
  <c r="AE44" i="41"/>
  <c r="AQ20" i="41"/>
  <c r="AQ82" i="41" s="1"/>
  <c r="AO49" i="41"/>
  <c r="AP49" i="41" s="1"/>
  <c r="AN46" i="41"/>
  <c r="AL21" i="41" s="1"/>
  <c r="AO48" i="41"/>
  <c r="AP48" i="41" s="1"/>
  <c r="AO51" i="41"/>
  <c r="AP51" i="41" s="1"/>
  <c r="AO59" i="41"/>
  <c r="AP59" i="41" s="1"/>
  <c r="AO52" i="41"/>
  <c r="AP52" i="41" s="1"/>
  <c r="AO55" i="41"/>
  <c r="AP55" i="41" s="1"/>
  <c r="AO58" i="41"/>
  <c r="AP58" i="41" s="1"/>
  <c r="AO54" i="41"/>
  <c r="AP54" i="41" s="1"/>
  <c r="DA211" i="46"/>
  <c r="BN8" i="46"/>
  <c r="A11" i="46"/>
  <c r="BI5" i="46"/>
  <c r="A57" i="47"/>
  <c r="DA225" i="47"/>
  <c r="BI19" i="47"/>
  <c r="BN22" i="47"/>
  <c r="A25" i="47"/>
  <c r="A71" i="48"/>
  <c r="DA220" i="47"/>
  <c r="BI14" i="47"/>
  <c r="BN17" i="47"/>
  <c r="A66" i="48"/>
  <c r="A20" i="47"/>
  <c r="DA227" i="47"/>
  <c r="A27" i="47"/>
  <c r="BI21" i="47"/>
  <c r="BN24" i="47"/>
  <c r="A73" i="48"/>
  <c r="DA224" i="47"/>
  <c r="BI18" i="47"/>
  <c r="BN21" i="47"/>
  <c r="A70" i="48"/>
  <c r="A24" i="47"/>
  <c r="DA223" i="47"/>
  <c r="BI17" i="47"/>
  <c r="A69" i="48"/>
  <c r="BN20" i="47"/>
  <c r="A23" i="47"/>
  <c r="DA217" i="47"/>
  <c r="A17" i="47"/>
  <c r="A63" i="48"/>
  <c r="BI11" i="47"/>
  <c r="BN14" i="47"/>
  <c r="DA226" i="47"/>
  <c r="BN23" i="47"/>
  <c r="A26" i="47"/>
  <c r="BI20" i="47"/>
  <c r="A72" i="48"/>
  <c r="AE52" i="40"/>
  <c r="AC53" i="40"/>
  <c r="AW47" i="40"/>
  <c r="AW46" i="40" s="1"/>
  <c r="AL25" i="40" s="1"/>
  <c r="AN24" i="40"/>
  <c r="AM24" i="40"/>
  <c r="AW30" i="40" s="1"/>
  <c r="AT30" i="40" s="1"/>
  <c r="AO85" i="40"/>
  <c r="AT85" i="40" s="1"/>
  <c r="AU30" i="40"/>
  <c r="AV30" i="40" s="1"/>
  <c r="AC60" i="39"/>
  <c r="AE59" i="39"/>
  <c r="DA226" i="48" l="1"/>
  <c r="BI20" i="48"/>
  <c r="A26" i="48"/>
  <c r="A72" i="49"/>
  <c r="BN23" i="48"/>
  <c r="DA217" i="48"/>
  <c r="BI11" i="48"/>
  <c r="BN14" i="48"/>
  <c r="A63" i="49"/>
  <c r="A17" i="48"/>
  <c r="DA223" i="48"/>
  <c r="A23" i="48"/>
  <c r="A69" i="49"/>
  <c r="BI17" i="48"/>
  <c r="BN20" i="48"/>
  <c r="DA224" i="48"/>
  <c r="A70" i="49"/>
  <c r="BN21" i="48"/>
  <c r="A24" i="48"/>
  <c r="BI18" i="48"/>
  <c r="DA227" i="48"/>
  <c r="A27" i="48"/>
  <c r="BI21" i="48"/>
  <c r="A73" i="49"/>
  <c r="BN24" i="48"/>
  <c r="DA220" i="48"/>
  <c r="BN17" i="48"/>
  <c r="A20" i="48"/>
  <c r="BI14" i="48"/>
  <c r="A66" i="49"/>
  <c r="DA225" i="48"/>
  <c r="BN22" i="48"/>
  <c r="A71" i="49"/>
  <c r="A25" i="48"/>
  <c r="BI19" i="48"/>
  <c r="DA211" i="47"/>
  <c r="A57" i="48"/>
  <c r="A11" i="47"/>
  <c r="BI5" i="47"/>
  <c r="BN8" i="47"/>
  <c r="AP47" i="41"/>
  <c r="AQ48" i="41"/>
  <c r="AR48" i="41" s="1"/>
  <c r="AN21" i="41"/>
  <c r="AM21" i="41"/>
  <c r="AO20" i="41"/>
  <c r="AQ49" i="41"/>
  <c r="AR49" i="41" s="1"/>
  <c r="AE45" i="41"/>
  <c r="AC46" i="41"/>
  <c r="DE211" i="4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AQ24" i="40"/>
  <c r="AQ86" i="40" s="1"/>
  <c r="AO24" i="40"/>
  <c r="AR24" i="40"/>
  <c r="AR86" i="40" s="1"/>
  <c r="AN25" i="40"/>
  <c r="AM25" i="40"/>
  <c r="AW31" i="40" s="1"/>
  <c r="AT31" i="40" s="1"/>
  <c r="AE53" i="40"/>
  <c r="AC54" i="40"/>
  <c r="AC61" i="39"/>
  <c r="AE60" i="39"/>
  <c r="AC47" i="41" l="1"/>
  <c r="AE46" i="41"/>
  <c r="AO82" i="41"/>
  <c r="AU27" i="41"/>
  <c r="AV27" i="41" s="1"/>
  <c r="AQ6" i="41"/>
  <c r="AR20" i="41"/>
  <c r="AR82" i="41" s="1"/>
  <c r="AW27" i="41"/>
  <c r="AT27" i="41" s="1"/>
  <c r="AO21" i="41"/>
  <c r="AQ21" i="41"/>
  <c r="AQ83" i="41" s="1"/>
  <c r="AR21" i="41"/>
  <c r="AR83" i="41" s="1"/>
  <c r="AQ52" i="41"/>
  <c r="AR52" i="41" s="1"/>
  <c r="AP46" i="41"/>
  <c r="AL22" i="41" s="1"/>
  <c r="AQ60" i="41"/>
  <c r="AR60" i="41" s="1"/>
  <c r="AQ67" i="41"/>
  <c r="AR67" i="41" s="1"/>
  <c r="AQ66" i="41"/>
  <c r="AR66" i="41" s="1"/>
  <c r="AQ65" i="41"/>
  <c r="AR65" i="41" s="1"/>
  <c r="AQ63" i="41"/>
  <c r="AR63" i="41" s="1"/>
  <c r="AQ61" i="41"/>
  <c r="AR61" i="41" s="1"/>
  <c r="AQ64" i="41"/>
  <c r="AR64" i="41" s="1"/>
  <c r="AQ62" i="41"/>
  <c r="AR62" i="41" s="1"/>
  <c r="AQ50" i="41"/>
  <c r="AR50" i="41" s="1"/>
  <c r="AQ53" i="41"/>
  <c r="AR53" i="41" s="1"/>
  <c r="AQ57" i="41"/>
  <c r="AR57" i="41" s="1"/>
  <c r="AQ56" i="41"/>
  <c r="AR56" i="41" s="1"/>
  <c r="AQ54" i="41"/>
  <c r="AR54" i="41" s="1"/>
  <c r="AQ58" i="41"/>
  <c r="AR58" i="41" s="1"/>
  <c r="AQ55" i="41"/>
  <c r="AR55" i="41" s="1"/>
  <c r="AQ59" i="41"/>
  <c r="AR59" i="41" s="1"/>
  <c r="AQ51" i="41"/>
  <c r="AR51" i="41" s="1"/>
  <c r="DA211" i="48"/>
  <c r="BN8" i="48"/>
  <c r="BI5" i="48"/>
  <c r="A11" i="48"/>
  <c r="A57" i="49"/>
  <c r="DA225" i="49"/>
  <c r="BI19" i="49"/>
  <c r="A25" i="49"/>
  <c r="A71" i="50"/>
  <c r="BN22" i="49"/>
  <c r="DA220" i="49"/>
  <c r="A20" i="49"/>
  <c r="BN17" i="49"/>
  <c r="A66" i="50"/>
  <c r="BI14" i="49"/>
  <c r="DA227" i="49"/>
  <c r="BN24" i="49"/>
  <c r="A27" i="49"/>
  <c r="A73" i="50"/>
  <c r="BI21" i="49"/>
  <c r="DA224" i="49"/>
  <c r="A70" i="50"/>
  <c r="BI18" i="49"/>
  <c r="BN21" i="49"/>
  <c r="A24" i="49"/>
  <c r="DA223" i="49"/>
  <c r="BI17" i="49"/>
  <c r="A23" i="49"/>
  <c r="BN20" i="49"/>
  <c r="A69" i="50"/>
  <c r="DA217" i="49"/>
  <c r="A17" i="49"/>
  <c r="A63" i="50"/>
  <c r="BI11" i="49"/>
  <c r="BN14" i="49"/>
  <c r="DA226" i="49"/>
  <c r="BI20" i="49"/>
  <c r="A26" i="49"/>
  <c r="A72" i="50"/>
  <c r="BN23" i="49"/>
  <c r="AE54" i="40"/>
  <c r="AC55" i="40"/>
  <c r="AW32" i="40"/>
  <c r="AT32" i="40" s="1"/>
  <c r="AQ25" i="40"/>
  <c r="AQ87" i="40" s="1"/>
  <c r="AO25" i="40"/>
  <c r="AR25" i="40"/>
  <c r="AR87" i="40" s="1"/>
  <c r="AU31" i="40"/>
  <c r="AV31" i="40" s="1"/>
  <c r="AO86" i="40"/>
  <c r="AT86" i="40" s="1"/>
  <c r="AC62" i="39"/>
  <c r="AE61" i="39"/>
  <c r="DA226" i="50" l="1"/>
  <c r="BI20" i="50"/>
  <c r="BN23" i="50"/>
  <c r="A26" i="50"/>
  <c r="DA217" i="50"/>
  <c r="BN14" i="50"/>
  <c r="BI11" i="50"/>
  <c r="A17" i="50"/>
  <c r="DA223" i="50"/>
  <c r="BN20" i="50"/>
  <c r="A23" i="50"/>
  <c r="BI17" i="50"/>
  <c r="DA224" i="50"/>
  <c r="BI18" i="50"/>
  <c r="A24" i="50"/>
  <c r="BN21" i="50"/>
  <c r="DA227" i="50"/>
  <c r="A27" i="50"/>
  <c r="BI21" i="50"/>
  <c r="BN24" i="50"/>
  <c r="DA220" i="50"/>
  <c r="BI14" i="50"/>
  <c r="A20" i="50"/>
  <c r="BN17" i="50"/>
  <c r="DA225" i="50"/>
  <c r="A25" i="50"/>
  <c r="BI19" i="50"/>
  <c r="BN22" i="50"/>
  <c r="DA211" i="49"/>
  <c r="A57" i="50"/>
  <c r="BI5" i="49"/>
  <c r="A11" i="49"/>
  <c r="BN8" i="49"/>
  <c r="AR47" i="41"/>
  <c r="AT62" i="41"/>
  <c r="AU62" i="41" s="1"/>
  <c r="AT64" i="41"/>
  <c r="AU64" i="41" s="1"/>
  <c r="AT61" i="41"/>
  <c r="AU61" i="41" s="1"/>
  <c r="AT63" i="41"/>
  <c r="AU63" i="41" s="1"/>
  <c r="AT66" i="41"/>
  <c r="AU66" i="41" s="1"/>
  <c r="AT67" i="41"/>
  <c r="AU67" i="41" s="1"/>
  <c r="AT60" i="41"/>
  <c r="AU60" i="41" s="1"/>
  <c r="AN22" i="41"/>
  <c r="AM22" i="41"/>
  <c r="AW28" i="41" s="1"/>
  <c r="AT28" i="41" s="1"/>
  <c r="AT52" i="41"/>
  <c r="AU52" i="41" s="1"/>
  <c r="AU28" i="41"/>
  <c r="AV28" i="41" s="1"/>
  <c r="AO83" i="41"/>
  <c r="AT83" i="41" s="1"/>
  <c r="AT82" i="41"/>
  <c r="AE47" i="41"/>
  <c r="AC48" i="41"/>
  <c r="AO87" i="40"/>
  <c r="AT87" i="40" s="1"/>
  <c r="AT89" i="40" s="1"/>
  <c r="AQ9" i="40" s="1"/>
  <c r="AU32" i="40"/>
  <c r="AV32" i="40" s="1"/>
  <c r="AV26" i="40" s="1"/>
  <c r="AC56" i="40"/>
  <c r="AE55" i="40"/>
  <c r="AE62" i="39"/>
  <c r="AC63" i="39"/>
  <c r="AE63" i="39" s="1"/>
  <c r="AC49" i="41" l="1"/>
  <c r="AE48" i="41"/>
  <c r="AO22" i="41"/>
  <c r="AR22" i="41"/>
  <c r="AR84" i="41" s="1"/>
  <c r="AQ22" i="41"/>
  <c r="AQ84" i="41" s="1"/>
  <c r="AT65" i="41"/>
  <c r="AU65" i="41" s="1"/>
  <c r="AR46" i="41"/>
  <c r="AL23" i="41" s="1"/>
  <c r="AT49" i="41"/>
  <c r="AU49" i="41" s="1"/>
  <c r="AT48" i="41"/>
  <c r="AU48" i="41" s="1"/>
  <c r="AT51" i="41"/>
  <c r="AU51" i="41" s="1"/>
  <c r="AT59" i="41"/>
  <c r="AU59" i="41" s="1"/>
  <c r="AT55" i="41"/>
  <c r="AU55" i="41" s="1"/>
  <c r="AT58" i="41"/>
  <c r="AU58" i="41" s="1"/>
  <c r="AT54" i="41"/>
  <c r="AU54" i="41" s="1"/>
  <c r="AT56" i="41"/>
  <c r="AU56" i="41" s="1"/>
  <c r="AT57" i="41"/>
  <c r="AU57" i="41" s="1"/>
  <c r="AT53" i="41"/>
  <c r="AU53" i="41" s="1"/>
  <c r="AT50" i="41"/>
  <c r="AU50" i="41" s="1"/>
  <c r="DA211" i="50"/>
  <c r="A11" i="50"/>
  <c r="BI5" i="50"/>
  <c r="BN8" i="50"/>
  <c r="AE56" i="40"/>
  <c r="AC57" i="40"/>
  <c r="AU47" i="41" l="1"/>
  <c r="AV48" i="41"/>
  <c r="AW48" i="41" s="1"/>
  <c r="AV49" i="41"/>
  <c r="AW49" i="41" s="1"/>
  <c r="AM23" i="41"/>
  <c r="AW29" i="41" s="1"/>
  <c r="AT29" i="41" s="1"/>
  <c r="AN23" i="41"/>
  <c r="AV65" i="41"/>
  <c r="AW65" i="41" s="1"/>
  <c r="AO84" i="41"/>
  <c r="AT84" i="41" s="1"/>
  <c r="AU29" i="41"/>
  <c r="AV29" i="41" s="1"/>
  <c r="AE49" i="41"/>
  <c r="AC50" i="41"/>
  <c r="AC58" i="40"/>
  <c r="AE57" i="40"/>
  <c r="AE50" i="41" l="1"/>
  <c r="AC51" i="41"/>
  <c r="AO23" i="41"/>
  <c r="AQ23" i="41"/>
  <c r="AQ85" i="41" s="1"/>
  <c r="AR23" i="41"/>
  <c r="AR85" i="41" s="1"/>
  <c r="AV53" i="41"/>
  <c r="AW53" i="41" s="1"/>
  <c r="AU46" i="41"/>
  <c r="AL24" i="41" s="1"/>
  <c r="AV52" i="41"/>
  <c r="AW52" i="41" s="1"/>
  <c r="AV60" i="41"/>
  <c r="AW60" i="41" s="1"/>
  <c r="AV67" i="41"/>
  <c r="AW67" i="41" s="1"/>
  <c r="AV66" i="41"/>
  <c r="AW66" i="41" s="1"/>
  <c r="AV63" i="41"/>
  <c r="AW63" i="41" s="1"/>
  <c r="AV61" i="41"/>
  <c r="AW61" i="41" s="1"/>
  <c r="AV64" i="41"/>
  <c r="AW64" i="41" s="1"/>
  <c r="AV62" i="41"/>
  <c r="AW62" i="41" s="1"/>
  <c r="AV50" i="41"/>
  <c r="AW50" i="41" s="1"/>
  <c r="AV57" i="41"/>
  <c r="AW57" i="41" s="1"/>
  <c r="AV56" i="41"/>
  <c r="AW56" i="41" s="1"/>
  <c r="AV54" i="41"/>
  <c r="AW54" i="41" s="1"/>
  <c r="AV58" i="41"/>
  <c r="AW58" i="41" s="1"/>
  <c r="AV55" i="41"/>
  <c r="AW55" i="41" s="1"/>
  <c r="AV59" i="41"/>
  <c r="AW59" i="41" s="1"/>
  <c r="AV51" i="41"/>
  <c r="AW51" i="41" s="1"/>
  <c r="AE58" i="40"/>
  <c r="AC59" i="40"/>
  <c r="AW47" i="41" l="1"/>
  <c r="AW46" i="41" s="1"/>
  <c r="AL25" i="41" s="1"/>
  <c r="AN24" i="41"/>
  <c r="AM24" i="41"/>
  <c r="AW30" i="41" s="1"/>
  <c r="AT30" i="41" s="1"/>
  <c r="AO85" i="41"/>
  <c r="AT85" i="41" s="1"/>
  <c r="AU30" i="41"/>
  <c r="AV30" i="41" s="1"/>
  <c r="AC52" i="41"/>
  <c r="AE51" i="41"/>
  <c r="AC60" i="40"/>
  <c r="AE59" i="40"/>
  <c r="AE52" i="41" l="1"/>
  <c r="AC53" i="41"/>
  <c r="AR24" i="41"/>
  <c r="AR86" i="41" s="1"/>
  <c r="AO24" i="41"/>
  <c r="AQ24" i="41"/>
  <c r="AQ86" i="41" s="1"/>
  <c r="AM25" i="41"/>
  <c r="AW31" i="41" s="1"/>
  <c r="AT31" i="41" s="1"/>
  <c r="AN25" i="41"/>
  <c r="AE60" i="40"/>
  <c r="AC61" i="40"/>
  <c r="AQ25" i="41" l="1"/>
  <c r="AQ87" i="41" s="1"/>
  <c r="AW32" i="41"/>
  <c r="AT32" i="41" s="1"/>
  <c r="AR25" i="41"/>
  <c r="AR87" i="41" s="1"/>
  <c r="AO25" i="41"/>
  <c r="AO86" i="41"/>
  <c r="AT86" i="41" s="1"/>
  <c r="AU31" i="41"/>
  <c r="AV31" i="41" s="1"/>
  <c r="AC54" i="41"/>
  <c r="AE53" i="41"/>
  <c r="AE61" i="40"/>
  <c r="AC62" i="40"/>
  <c r="AC55" i="41" l="1"/>
  <c r="AE54" i="41"/>
  <c r="AO87" i="41"/>
  <c r="AT87" i="41" s="1"/>
  <c r="AT89" i="41" s="1"/>
  <c r="AQ9" i="41" s="1"/>
  <c r="AU32" i="41"/>
  <c r="AV32" i="41" s="1"/>
  <c r="AV26" i="41" s="1"/>
  <c r="AC63" i="40"/>
  <c r="AE63" i="40" s="1"/>
  <c r="AE62" i="40"/>
  <c r="AC56" i="41" l="1"/>
  <c r="AE55" i="41"/>
  <c r="AE56" i="41" l="1"/>
  <c r="AC57" i="41"/>
  <c r="AE57" i="41" l="1"/>
  <c r="AC58" i="41"/>
  <c r="AE58" i="41" l="1"/>
  <c r="AC59" i="41"/>
  <c r="AC60" i="41" l="1"/>
  <c r="AE59" i="41"/>
  <c r="AE60" i="41" l="1"/>
  <c r="AC61" i="41"/>
  <c r="AE61" i="41" l="1"/>
  <c r="AC62" i="41"/>
  <c r="AC63" i="41" l="1"/>
  <c r="AE63" i="41" s="1"/>
  <c r="AE62" i="41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<sst xmlns="http://schemas.openxmlformats.org/spreadsheetml/2006/main" count="3935" uniqueCount="369">
  <si>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</si>
  <si>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</si>
  <si>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</si>
  <si>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</si>
  <si>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</si>
  <si>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</si>
  <si>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</si>
  <si>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</si>
  <si>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</si>
  <si>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</si>
  <si>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</si>
  <si>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</si>
  <si>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</si>
  <si>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</si>
  <si>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</si>
  <si>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</si>
  <si>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</si>
  <si>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</si>
  <si>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</si>
  <si>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</si>
  <si>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</si>
  <si>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</si>
  <si>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</si>
  <si>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</si>
  <si>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</si>
  <si>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</si>
  <si>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</si>
  <si>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</si>
  <si>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</si>
  <si>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</si>
  <si>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</si>
  <si>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</si>
  <si>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</si>
  <si>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</si>
  <si>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</si>
  <si>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</si>
  <si>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</si>
  <si>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</si>
  <si>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</si>
  <si>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</si>
  <si>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</si>
  <si>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</si>
  <si>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Castlereagh South</t>
  </si>
  <si>
    <t>VERIFICATION OF BOXES &amp; FIRST PREFERENCE</t>
  </si>
  <si>
    <t>Name</t>
  </si>
  <si>
    <t>Party</t>
  </si>
  <si>
    <t>BASSETT</t>
  </si>
  <si>
    <t>Sinn Féin</t>
  </si>
  <si>
    <t>CARLIN</t>
  </si>
  <si>
    <t>EATON</t>
  </si>
  <si>
    <t>Alliance Party</t>
  </si>
  <si>
    <t>GALLEN</t>
  </si>
  <si>
    <t>SDLP</t>
  </si>
  <si>
    <t>GUY</t>
  </si>
  <si>
    <t>HAMLEY</t>
  </si>
  <si>
    <t>Green Party NI</t>
  </si>
  <si>
    <t>HENDERSON</t>
  </si>
  <si>
    <t>UUP</t>
  </si>
  <si>
    <t>HIGGINSON</t>
  </si>
  <si>
    <t>D.U.P.</t>
  </si>
  <si>
    <t>LEE</t>
  </si>
  <si>
    <t xml:space="preserve">SDLP </t>
  </si>
  <si>
    <t>MCKEEVER</t>
  </si>
  <si>
    <t>MILLER</t>
  </si>
  <si>
    <t>Independent</t>
  </si>
  <si>
    <t>TRAYNOR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</si>
  <si>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</si>
  <si>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</si>
  <si>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</si>
  <si>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</si>
  <si>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</si>
  <si>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</si>
  <si>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</si>
  <si>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</si>
  <si>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</si>
  <si>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</si>
  <si>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</si>
  <si>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</si>
  <si>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</si>
  <si>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</si>
  <si>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</si>
  <si>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</si>
  <si>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</si>
  <si>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</si>
  <si>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</si>
  <si>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</si>
  <si>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</si>
  <si>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</si>
  <si>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</si>
  <si>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</si>
  <si>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</si>
  <si>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</si>
  <si>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</si>
  <si>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</si>
  <si>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</si>
  <si>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</si>
  <si>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</si>
  <si>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</si>
  <si>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</si>
  <si>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</si>
  <si>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</si>
  <si>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</si>
  <si>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</si>
  <si>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</si>
  <si>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</si>
  <si>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</si>
  <si>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</si>
  <si>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</si>
  <si>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</si>
  <si>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</si>
  <si>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</si>
  <si>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</si>
  <si>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</si>
  <si>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</si>
  <si>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</si>
  <si>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</si>
  <si>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</si>
  <si>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</si>
  <si>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</si>
  <si>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</si>
  <si>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</si>
  <si>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</si>
  <si>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</si>
  <si>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</si>
  <si>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</si>
  <si>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</si>
  <si>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</si>
  <si>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</si>
  <si>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</si>
  <si>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</si>
  <si>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</si>
  <si>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</si>
  <si>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</si>
  <si>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</si>
  <si>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</si>
  <si>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</si>
  <si>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</si>
  <si>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</si>
  <si>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Miller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</si>
  <si>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</si>
  <si>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</si>
  <si>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</si>
  <si>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</si>
  <si>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</si>
  <si>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</si>
  <si>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</si>
  <si>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</si>
  <si>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</si>
  <si>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</si>
  <si>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N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</si>
  <si>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</si>
  <si>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</si>
  <si>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</si>
  <si>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</si>
  <si>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</si>
  <si>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</si>
  <si>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</si>
  <si>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</si>
  <si>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</si>
  <si>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</si>
  <si>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</si>
  <si>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</si>
  <si>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</si>
  <si>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</si>
  <si>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</si>
  <si>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</si>
  <si>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</si>
  <si>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</si>
  <si>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</si>
  <si>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</si>
  <si>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</si>
  <si>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</si>
  <si>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</si>
  <si>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</si>
  <si>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</si>
  <si>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</si>
  <si>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</si>
  <si>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</si>
  <si>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</si>
  <si>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</si>
  <si>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</si>
  <si>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</si>
  <si>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</si>
  <si>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</si>
  <si>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</si>
  <si>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</si>
  <si>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</si>
  <si>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Y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</si>
  <si>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</si>
  <si>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</si>
  <si>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</si>
  <si>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</si>
  <si>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</si>
  <si>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</si>
  <si>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</si>
  <si>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</si>
  <si>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</si>
  <si>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</si>
  <si>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</si>
  <si>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</si>
  <si>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</si>
  <si>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</si>
  <si>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</si>
  <si>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</si>
  <si>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</si>
  <si>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</si>
  <si>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</si>
  <si>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</si>
  <si>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</si>
  <si>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</si>
  <si>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</si>
  <si>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</si>
  <si>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</si>
  <si>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</si>
  <si>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</si>
  <si>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</si>
  <si>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</si>
  <si>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</si>
  <si>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</si>
  <si>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</si>
  <si>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</si>
  <si>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</si>
  <si>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</si>
  <si>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</si>
  <si>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</si>
  <si>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</si>
  <si>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</si>
  <si>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</si>
  <si>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</si>
  <si>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</si>
  <si>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>FORWARD TO STAGE 4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</si>
  <si>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</si>
  <si>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</si>
  <si>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</si>
  <si>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</si>
  <si>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</si>
  <si>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FORWARD TO STAGE 5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</si>
  <si>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</si>
  <si>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</si>
  <si>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</si>
  <si>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</si>
  <si>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</si>
  <si>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FORWARD TO STAGE 6</t>
  </si>
  <si>
    <t>y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</si>
  <si>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</si>
  <si>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</si>
  <si>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</si>
  <si>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</si>
  <si>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</si>
  <si>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Hamley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</si>
  <si>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</si>
  <si>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</si>
  <si>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</si>
  <si>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</si>
  <si>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</si>
  <si>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</si>
  <si>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Lee</t>
  </si>
  <si>
    <t>FORWARD TO STAGE 8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</si>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</sst>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51" xfId="0" applyFont="1" applyBorder="1" applyAlignment="1"/>
    <xf numFmtId="0" fontId="0" fillId="0" borderId="0" xfId="0" applyAlignment="1"/>
    <xf numFmtId="0" fontId="0" fillId="0" borderId="52" xfId="0" applyBorder="1" applyAlignme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10" borderId="0" xfId="0" applyFont="1" applyFill="1" applyAlignme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1" fillId="0" borderId="2" xfId="0" applyFont="1" applyBorder="1" applyAlignment="1"/>
    <xf numFmtId="0" fontId="0" fillId="0" borderId="2" xfId="0" applyBorder="1" applyAlignment="1"/>
    <xf numFmtId="166" fontId="21" fillId="0" borderId="2" xfId="2" applyNumberFormat="1" applyFont="1" applyBorder="1" applyAlignment="1"/>
    <xf numFmtId="10" fontId="21" fillId="0" borderId="2" xfId="3" applyNumberFormat="1" applyFont="1" applyBorder="1" applyAlignment="1"/>
    <xf numFmtId="0" fontId="21" fillId="0" borderId="11" xfId="0" applyFont="1" applyBorder="1" applyAlignment="1"/>
    <xf numFmtId="0" fontId="21" fillId="0" borderId="47" xfId="0" applyFont="1" applyBorder="1" applyAlignment="1"/>
    <xf numFmtId="0" fontId="21" fillId="0" borderId="37" xfId="0" applyFont="1" applyBorder="1" applyAlignment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1" applyFill="1" applyBorder="1" applyAlignment="1" applyProtection="1">
      <alignment horizontal="left"/>
    </xf>
    <xf numFmtId="0" fontId="9" fillId="0" borderId="0" xfId="1" applyFill="1" applyBorder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5" fontId="2" fillId="0" borderId="0" xfId="0" applyNumberFormat="1" applyFont="1" applyAlignment="1">
      <alignment horizontal="center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11" fillId="0" borderId="36" xfId="0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22" fillId="10" borderId="0" xfId="0" applyFont="1" applyFill="1" applyAlignment="1">
      <alignment wrapText="1"/>
    </xf>
    <xf numFmtId="0" fontId="0" fillId="10" borderId="0" xfId="0" applyFill="1" applyAlignment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topLeftCell="D8" zoomScale="75" workbookViewId="0">
      <selection activeCell="Q34" sqref="Q3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26953125" customWidth="1"/>
    <col min="50" max="50" width="214.45312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.54296875" customWidth="1"/>
    <col min="67" max="67" width="9.7265625" customWidth="1"/>
    <col min="68" max="68" width="6.816406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112</v>
      </c>
      <c r="J1" s="85" t="s">
        <v>37</v>
      </c>
      <c r="K1" s="311">
        <f>'Basic Input'!C2</f>
        <v>45064</v>
      </c>
      <c r="L1" s="311"/>
      <c r="Z1" s="10" t="s">
        <v>254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255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142.76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36" t="s">
        <v>112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142.76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 t="s">
        <v>256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257</v>
      </c>
      <c r="P4" s="338"/>
      <c r="Q4" s="338"/>
      <c r="R4" s="338"/>
      <c r="S4" s="339"/>
      <c r="U4" s="324" t="str">
        <f>IF(Q33="ERROR","DO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149</v>
      </c>
      <c r="AT5" s="7" t="str">
        <f>IF(AQ5=0,0,IF(AQ5="Y","T","E"))</f>
        <v>E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IF(C11=0,0,IF(O11=0,"Excluded",0))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258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112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IF(C12=0,0,IF(O12=0,"Excluded",0))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>
        <v>0.52</v>
      </c>
      <c r="BY6" s="122" t="s">
        <v>158</v>
      </c>
      <c r="BZ6" s="65">
        <v>0.12</v>
      </c>
      <c r="CA6" s="122" t="s">
        <v>158</v>
      </c>
      <c r="CB6" s="65"/>
      <c r="CC6" s="122" t="s">
        <v>158</v>
      </c>
      <c r="CD6" s="65"/>
      <c r="CE6" s="204">
        <f>BS29+BU29+BW29+BY29+CA29+CC29</f>
        <v>929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IF($AT5=0,0,IF($AT5="T",$AZ7,$BR4))</f>
        <v>Exclude</v>
      </c>
      <c r="Q7" s="362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61" t="str">
        <f>IF($P7="Transfer",$BA8,$BT3)</f>
        <v>Lee</v>
      </c>
      <c r="Q8" s="36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1036.24</v>
      </c>
      <c r="BP8" s="66"/>
      <c r="BR8" s="9" t="str">
        <f>'Verification of Boxes'!J10</f>
        <v>BASSETT</v>
      </c>
      <c r="BS8" s="64">
        <v>42</v>
      </c>
      <c r="BT8" s="5">
        <f t="shared" ref="BT8:BT29" si="4">BS8*BT$6</f>
        <v>42</v>
      </c>
      <c r="BU8" s="64">
        <v>14</v>
      </c>
      <c r="BV8" s="5">
        <f t="shared" ref="BV8:BV29" si="5">BU8*BV$6</f>
        <v>14</v>
      </c>
      <c r="BW8" s="64"/>
      <c r="BX8" s="5">
        <f t="shared" ref="BX8:BX29" si="6">BW8*BX$6</f>
        <v>0</v>
      </c>
      <c r="BY8" s="64">
        <v>28</v>
      </c>
      <c r="BZ8" s="5">
        <f t="shared" ref="BZ8:BZ29" si="7">BY8*BZ$6</f>
        <v>3.36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59.36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>
        <f t="shared" si="3"/>
        <v>1260.76</v>
      </c>
      <c r="BP9" s="66"/>
      <c r="BR9" s="9" t="str">
        <f>'Verification of Boxes'!J11</f>
        <v>CARLIN</v>
      </c>
      <c r="BS9" s="64">
        <v>54</v>
      </c>
      <c r="BT9" s="5">
        <f t="shared" si="4"/>
        <v>54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54</v>
      </c>
    </row>
    <row r="10" spans="1:105" ht="15" customHeight="1" thickBot="1" x14ac:dyDescent="0.3">
      <c r="A10" s="15" t="s">
        <v>117</v>
      </c>
      <c r="B10" s="16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6'!A11&lt;&gt;0,'Stage 6'!A11,IF(Q11&gt;=$M$3,"Elected",IF(BP8&lt;&gt;0,"Excluded",0)))</f>
        <v>0</v>
      </c>
      <c r="B11" s="235">
        <f>'Stage 6'!B11</f>
        <v>0</v>
      </c>
      <c r="C11" s="155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 t="shared" ref="P11:P30" si="12">IF($C11&lt;&gt;0,$BK49,0)</f>
        <v>59.36</v>
      </c>
      <c r="Q11" s="27">
        <f t="shared" ref="Q11:Q31" si="13">IF(P$8=0,0,O11+P11)</f>
        <v>1095.5999999999999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>
        <f t="shared" si="3"/>
        <v>1147.1199999999999</v>
      </c>
      <c r="BP11" s="66"/>
      <c r="BR11" s="9" t="str">
        <f>'Verification of Boxes'!J13</f>
        <v>GALLEN</v>
      </c>
      <c r="BS11" s="64">
        <v>466</v>
      </c>
      <c r="BT11" s="5">
        <f t="shared" si="4"/>
        <v>466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466</v>
      </c>
    </row>
    <row r="12" spans="1:105" ht="15" customHeight="1" thickBot="1" x14ac:dyDescent="0.4">
      <c r="A12" s="20" t="str">
        <f>IF('Stage 6'!A12&lt;&gt;0,'Stage 6'!A12,IF(Q12&gt;=$M$3,"Elected",IF(BP9&lt;&gt;0,"Excluded",0)))</f>
        <v>Elected</v>
      </c>
      <c r="B12" s="235">
        <f>'Stage 6'!B12</f>
        <v>0</v>
      </c>
      <c r="C12" s="119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 t="shared" si="12"/>
        <v>54</v>
      </c>
      <c r="Q12" s="27">
        <f t="shared" si="13"/>
        <v>1314.76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171</v>
      </c>
      <c r="BA12" s="3" t="s">
        <v>172</v>
      </c>
      <c r="BB12" s="3"/>
      <c r="BC12" s="50">
        <f>AG3</f>
        <v>142.76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6'!A13&lt;&gt;0,'Stage 6'!A13,IF(Q13&gt;=$M$3,"Elected",IF(BP10&lt;&gt;0,"Excluded",0)))</f>
        <v>Elected</v>
      </c>
      <c r="B13" s="235">
        <f>'Stage 6'!B13</f>
        <v>0</v>
      </c>
      <c r="C13" s="119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 t="shared" si="12"/>
        <v>0</v>
      </c>
      <c r="Q13" s="27">
        <f t="shared" si="13"/>
        <v>1416.76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>
        <f t="shared" si="2"/>
        <v>0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6'!A14&lt;&gt;0,'Stage 6'!A14,IF(Q14&gt;=$M$3,"Elected",IF(BP11&lt;&gt;0,"Excluded",0)))</f>
        <v>Elected</v>
      </c>
      <c r="B14" s="235">
        <f>'Stage 6'!B14</f>
        <v>0</v>
      </c>
      <c r="C14" s="119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 t="shared" si="12"/>
        <v>466</v>
      </c>
      <c r="Q14" s="27">
        <f t="shared" si="13"/>
        <v>1613.12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BASSETT</v>
      </c>
      <c r="AA14" s="93">
        <f>O11</f>
        <v>1036.24</v>
      </c>
      <c r="AB14" s="88"/>
      <c r="AC14" s="99">
        <f t="shared" ref="AC14:AC33" si="17">IF(AA14&gt;0,AA14-AG$4,0)</f>
        <v>-237.76</v>
      </c>
      <c r="AD14" s="123"/>
      <c r="AE14" s="88" t="str">
        <f>IF(Z14=0,0,IF(AA14&gt;=AG$4,"elected",IF(AA14=0,"excluded","continuing")))</f>
        <v>continuing</v>
      </c>
      <c r="AF14" s="88">
        <f t="shared" ref="AF14:AF33" si="18">IF(AE14="elected",AC14,0)</f>
        <v>0</v>
      </c>
      <c r="AG14" s="94">
        <f t="shared" ref="AG14:AG33" si="19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1039.08</v>
      </c>
      <c r="BP14" s="66"/>
      <c r="BR14" s="9" t="str">
        <f>'Verification of Boxes'!J16</f>
        <v>HENDERSON</v>
      </c>
      <c r="BS14" s="64">
        <v>10</v>
      </c>
      <c r="BT14" s="5">
        <f t="shared" si="4"/>
        <v>10</v>
      </c>
      <c r="BU14" s="64">
        <v>8</v>
      </c>
      <c r="BV14" s="5">
        <f t="shared" si="5"/>
        <v>8</v>
      </c>
      <c r="BW14" s="64">
        <v>3</v>
      </c>
      <c r="BX14" s="5">
        <f t="shared" si="6"/>
        <v>1.56</v>
      </c>
      <c r="BY14" s="64">
        <v>8</v>
      </c>
      <c r="BZ14" s="5">
        <f t="shared" si="7"/>
        <v>0.96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20.52</v>
      </c>
    </row>
    <row r="15" spans="1:105" ht="15" customHeight="1" thickBot="1" x14ac:dyDescent="0.3">
      <c r="A15" s="20" t="str">
        <f>IF('Stage 6'!A15&lt;&gt;0,'Stage 6'!A15,IF(Q15&gt;=$M$3,"Elected",IF(BP12&lt;&gt;0,"Excluded",0)))</f>
        <v>Elected</v>
      </c>
      <c r="B15" s="235">
        <f>'Stage 6'!B15</f>
        <v>0</v>
      </c>
      <c r="C15" s="119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 t="shared" si="12"/>
        <v>0</v>
      </c>
      <c r="Q15" s="27">
        <f t="shared" si="13"/>
        <v>1274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CARLIN</v>
      </c>
      <c r="AA15" s="37">
        <f>O12</f>
        <v>1260.76</v>
      </c>
      <c r="AB15" s="5"/>
      <c r="AC15" s="100">
        <f t="shared" si="17"/>
        <v>-13.240000000000009</v>
      </c>
      <c r="AD15" s="110"/>
      <c r="AE15" s="5" t="str">
        <f t="shared" ref="AE15:AE33" si="20">IF(Z15=0,0,IF(AA15&gt;=AG$4,"elected",IF(AA15=0,"excluded","continuing")))</f>
        <v>continuing</v>
      </c>
      <c r="AF15" s="5">
        <f t="shared" si="18"/>
        <v>0</v>
      </c>
      <c r="AG15" s="96">
        <f t="shared" si="19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6'!A16&lt;&gt;0,'Stage 6'!A16,IF(Q16&gt;=$M$3,"Elected",IF(BP13&lt;&gt;0,"Excluded",0)))</f>
        <v>Excluded</v>
      </c>
      <c r="B16" s="235">
        <f>'Stage 6'!B16</f>
        <v>0</v>
      </c>
      <c r="C16" s="119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 t="shared" si="12"/>
        <v>0</v>
      </c>
      <c r="Q16" s="27">
        <f t="shared" si="13"/>
        <v>0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EATON</v>
      </c>
      <c r="AA16" s="37">
        <f t="shared" ref="AA16:AA33" si="21">O13</f>
        <v>1416.76</v>
      </c>
      <c r="AB16" s="5"/>
      <c r="AC16" s="100">
        <f t="shared" si="17"/>
        <v>142.76</v>
      </c>
      <c r="AD16" s="110"/>
      <c r="AE16" s="5" t="str">
        <f t="shared" si="20"/>
        <v>elected</v>
      </c>
      <c r="AF16" s="5">
        <f t="shared" si="18"/>
        <v>142.76</v>
      </c>
      <c r="AG16" s="96" t="str">
        <f t="shared" si="19"/>
        <v>transfer largest surplus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761.6400000000001</v>
      </c>
      <c r="BP16" s="66" t="s">
        <v>187</v>
      </c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>IF('Stage 6'!A17&lt;&gt;0,'Stage 6'!A17,IF(Q17&gt;=$M$3,"Elected",IF(BP14&lt;&gt;0,"Excluded",0)))</f>
        <v>0</v>
      </c>
      <c r="B17" s="235">
        <f>'Stage 6'!B17</f>
        <v>0</v>
      </c>
      <c r="C17" s="119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 t="shared" si="12"/>
        <v>20.52</v>
      </c>
      <c r="Q17" s="27">
        <f t="shared" si="13"/>
        <v>1059.5999999999999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GALLEN</v>
      </c>
      <c r="AA17" s="37">
        <f t="shared" si="21"/>
        <v>1147.1199999999999</v>
      </c>
      <c r="AB17" s="5"/>
      <c r="AC17" s="100">
        <f t="shared" si="17"/>
        <v>-126.88000000000011</v>
      </c>
      <c r="AD17" s="110"/>
      <c r="AE17" s="5" t="str">
        <f t="shared" si="20"/>
        <v>continuing</v>
      </c>
      <c r="AF17" s="5">
        <f t="shared" si="18"/>
        <v>0</v>
      </c>
      <c r="AG17" s="96">
        <f t="shared" si="19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926.04</v>
      </c>
      <c r="BP17" s="66"/>
      <c r="BR17" s="9" t="str">
        <f>'Verification of Boxes'!J19</f>
        <v>MCKEEVER</v>
      </c>
      <c r="BS17" s="64">
        <v>64</v>
      </c>
      <c r="BT17" s="5">
        <f t="shared" si="4"/>
        <v>64</v>
      </c>
      <c r="BU17" s="64">
        <v>43</v>
      </c>
      <c r="BV17" s="5">
        <f t="shared" si="5"/>
        <v>43</v>
      </c>
      <c r="BW17" s="64"/>
      <c r="BX17" s="5">
        <f t="shared" si="6"/>
        <v>0</v>
      </c>
      <c r="BY17" s="64">
        <v>131</v>
      </c>
      <c r="BZ17" s="5">
        <f t="shared" si="7"/>
        <v>15.719999999999999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122.72</v>
      </c>
    </row>
    <row r="18" spans="1:83" ht="15" customHeight="1" thickBot="1" x14ac:dyDescent="0.3">
      <c r="A18" s="20" t="str">
        <f>IF('Stage 6'!A18&lt;&gt;0,'Stage 6'!A18,IF(Q18&gt;=$M$3,"Elected",IF(BP15&lt;&gt;0,"Excluded",0)))</f>
        <v>Elected</v>
      </c>
      <c r="B18" s="235">
        <f>'Stage 6'!B18</f>
        <v>0</v>
      </c>
      <c r="C18" s="119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 t="shared" si="12"/>
        <v>0</v>
      </c>
      <c r="Q18" s="27">
        <f t="shared" si="13"/>
        <v>1274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GUY</v>
      </c>
      <c r="AA18" s="37">
        <f t="shared" si="21"/>
        <v>1274</v>
      </c>
      <c r="AB18" s="5"/>
      <c r="AC18" s="100">
        <f t="shared" si="17"/>
        <v>0</v>
      </c>
      <c r="AD18" s="110"/>
      <c r="AE18" s="5" t="str">
        <f t="shared" si="20"/>
        <v>elected</v>
      </c>
      <c r="AF18" s="5">
        <f t="shared" si="18"/>
        <v>0</v>
      </c>
      <c r="AG18" s="96">
        <f t="shared" si="19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6'!A19&lt;&gt;0,'Stage 6'!A19,IF(Q19&gt;=$M$3,"Elected",IF(BP16&lt;&gt;0,"Excluded",0)))</f>
        <v>Excluded</v>
      </c>
      <c r="B19" s="235">
        <f>'Stage 6'!B19</f>
        <v>0</v>
      </c>
      <c r="C19" s="119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 t="shared" si="12"/>
        <v>-761.6400000000001</v>
      </c>
      <c r="Q19" s="27">
        <f t="shared" si="13"/>
        <v>0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HAMLEY</v>
      </c>
      <c r="AA19" s="37">
        <f t="shared" si="21"/>
        <v>0</v>
      </c>
      <c r="AB19" s="5"/>
      <c r="AC19" s="100">
        <f t="shared" si="17"/>
        <v>0</v>
      </c>
      <c r="AD19" s="110"/>
      <c r="AE19" s="5" t="str">
        <f t="shared" si="20"/>
        <v>excluded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 t="shared" si="12"/>
        <v>122.72</v>
      </c>
      <c r="Q20" s="27">
        <f t="shared" si="13"/>
        <v>1048.76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HENDERSON</v>
      </c>
      <c r="AA20" s="37">
        <f t="shared" si="21"/>
        <v>1039.08</v>
      </c>
      <c r="AB20" s="5"/>
      <c r="AC20" s="100">
        <f t="shared" si="17"/>
        <v>-234.92000000000007</v>
      </c>
      <c r="AD20" s="110"/>
      <c r="AE20" s="5" t="str">
        <f t="shared" si="20"/>
        <v>continuing</v>
      </c>
      <c r="AF20" s="5">
        <f t="shared" si="18"/>
        <v>0</v>
      </c>
      <c r="AG20" s="96">
        <f t="shared" si="19"/>
        <v>0</v>
      </c>
      <c r="AJ20" s="344" t="s">
        <v>190</v>
      </c>
      <c r="AK20" s="345"/>
      <c r="AL20" s="142">
        <f>AL46</f>
        <v>761.6400000000001</v>
      </c>
      <c r="AM20" s="118"/>
      <c r="AN20" s="142">
        <f>AL20+AG2</f>
        <v>904.40000000000009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6'!A21&lt;&gt;0,'Stage 6'!A21,IF(Q21&gt;=$M$3,"Elected",IF(BP18&lt;&gt;0,"Excluded",0)))</f>
        <v>Excluded</v>
      </c>
      <c r="B21" s="235">
        <f>'Stage 6'!B21</f>
        <v>0</v>
      </c>
      <c r="C21" s="119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HIGGINSON</v>
      </c>
      <c r="AA21" s="37">
        <f t="shared" si="21"/>
        <v>1274</v>
      </c>
      <c r="AB21" s="5"/>
      <c r="AC21" s="100">
        <f t="shared" si="17"/>
        <v>0</v>
      </c>
      <c r="AD21" s="110"/>
      <c r="AE21" s="5" t="str">
        <f t="shared" si="20"/>
        <v>elected</v>
      </c>
      <c r="AF21" s="5">
        <f t="shared" si="18"/>
        <v>0</v>
      </c>
      <c r="AG21" s="96">
        <f t="shared" si="19"/>
        <v>0</v>
      </c>
      <c r="AJ21" s="327" t="s">
        <v>191</v>
      </c>
      <c r="AK21" s="275"/>
      <c r="AL21" s="37">
        <f>IF(AL20=1000000,0,AN46)</f>
        <v>926.04</v>
      </c>
      <c r="AM21" s="5">
        <f>AL21-AL20</f>
        <v>164.39999999999986</v>
      </c>
      <c r="AN21" s="5">
        <f>IF(AL21=1000000,0,IF(AN20=0,0,AN20+AL21))</f>
        <v>1830.44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6'!A22&lt;&gt;0,'Stage 6'!A22,IF(Q22&gt;=$M$3,"Elected",IF(BP19&lt;&gt;0,"Excluded",0)))</f>
        <v>Excluded</v>
      </c>
      <c r="B22" s="235">
        <f>'Stage 6'!B22</f>
        <v>0</v>
      </c>
      <c r="C22" s="119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 t="str">
        <f>'Verification of Boxes'!J18</f>
        <v>LEE</v>
      </c>
      <c r="AA22" s="37">
        <f t="shared" si="21"/>
        <v>761.6400000000001</v>
      </c>
      <c r="AB22" s="5"/>
      <c r="AC22" s="100">
        <f t="shared" si="17"/>
        <v>-512.3599999999999</v>
      </c>
      <c r="AD22" s="110"/>
      <c r="AE22" s="5" t="str">
        <f t="shared" si="20"/>
        <v>continuing</v>
      </c>
      <c r="AF22" s="5">
        <f t="shared" si="18"/>
        <v>0</v>
      </c>
      <c r="AG22" s="96">
        <f t="shared" si="19"/>
        <v>0</v>
      </c>
      <c r="AJ22" s="327" t="s">
        <v>191</v>
      </c>
      <c r="AK22" s="275"/>
      <c r="AL22" s="37">
        <f>IF(AL21=1000000,0,AP46)</f>
        <v>1036.24</v>
      </c>
      <c r="AM22" s="5">
        <f>IF(AL22=1000000,0,IF(AM21=0,0,AL22-AL21))</f>
        <v>110.20000000000005</v>
      </c>
      <c r="AN22" s="5">
        <f>IF(AL22=1000000,0,IF(AN21=0,0,AN21+AL22))</f>
        <v>2866.6800000000003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 t="str">
        <f>'Verification of Boxes'!J19</f>
        <v>MCKEEVER</v>
      </c>
      <c r="AA23" s="37">
        <f t="shared" si="21"/>
        <v>926.04</v>
      </c>
      <c r="AB23" s="5"/>
      <c r="AC23" s="100">
        <f t="shared" si="17"/>
        <v>-347.96000000000004</v>
      </c>
      <c r="AD23" s="110"/>
      <c r="AE23" s="5" t="str">
        <f t="shared" si="20"/>
        <v>continuing</v>
      </c>
      <c r="AF23" s="5">
        <f t="shared" si="18"/>
        <v>0</v>
      </c>
      <c r="AG23" s="96">
        <f t="shared" si="19"/>
        <v>0</v>
      </c>
      <c r="AJ23" s="327" t="s">
        <v>191</v>
      </c>
      <c r="AK23" s="275"/>
      <c r="AL23" s="37">
        <f>IF(AL22=1000000,0,AR46)</f>
        <v>1039.08</v>
      </c>
      <c r="AM23" s="5">
        <f>IF(AL23=1000000,0,IF(AM22=0,0,AL23-AL22))</f>
        <v>2.8399999999999181</v>
      </c>
      <c r="AN23" s="5">
        <f>IF(AL23=1000000,0,IF(AN22=0,0,AN22+AL23))</f>
        <v>3905.76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 t="str">
        <f>'Verification of Boxes'!J20</f>
        <v>MILLER</v>
      </c>
      <c r="AA24" s="37">
        <f t="shared" si="21"/>
        <v>0</v>
      </c>
      <c r="AB24" s="5"/>
      <c r="AC24" s="100">
        <f t="shared" si="17"/>
        <v>0</v>
      </c>
      <c r="AD24" s="110"/>
      <c r="AE24" s="5" t="str">
        <f t="shared" si="20"/>
        <v>excluded</v>
      </c>
      <c r="AF24" s="5">
        <f t="shared" si="18"/>
        <v>0</v>
      </c>
      <c r="AG24" s="96">
        <f t="shared" si="19"/>
        <v>0</v>
      </c>
      <c r="AJ24" s="327" t="s">
        <v>191</v>
      </c>
      <c r="AK24" s="275"/>
      <c r="AL24" s="37">
        <f>IF(AR46=1000000,0,AU46)</f>
        <v>1147.1199999999999</v>
      </c>
      <c r="AM24" s="5">
        <f>IF(AL24=1000000,0,IF(AM23=0,0,AL24-AL23))</f>
        <v>108.03999999999996</v>
      </c>
      <c r="AN24" s="5">
        <f>IF(AL24=1000000,0,IF(AN23=0,0,AN23+AL24))</f>
        <v>5052.88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 t="str">
        <f>'Verification of Boxes'!J21</f>
        <v>TRAYNOR</v>
      </c>
      <c r="AA25" s="37">
        <f t="shared" si="21"/>
        <v>0</v>
      </c>
      <c r="AB25" s="5"/>
      <c r="AC25" s="100">
        <f t="shared" si="17"/>
        <v>0</v>
      </c>
      <c r="AD25" s="110"/>
      <c r="AE25" s="5" t="str">
        <f t="shared" si="20"/>
        <v>excluded</v>
      </c>
      <c r="AF25" s="5">
        <f t="shared" si="18"/>
        <v>0</v>
      </c>
      <c r="AG25" s="96">
        <f t="shared" si="19"/>
        <v>0</v>
      </c>
      <c r="AJ25" s="325" t="s">
        <v>191</v>
      </c>
      <c r="AK25" s="326"/>
      <c r="AL25" s="89">
        <f>IF(AL24=1000000,0,AW46)</f>
        <v>1260.76</v>
      </c>
      <c r="AM25" s="90">
        <f>IF(AL25=1000000,0,IF(AM24=0,0,AL25-AL24))</f>
        <v>113.6400000000001</v>
      </c>
      <c r="AN25" s="90">
        <f>IF(AL25=1000000,0,IF(AN24=0,0,AN24+AL25))</f>
        <v>6313.64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1</v>
      </c>
      <c r="AV27" s="5">
        <f>AU27</f>
        <v>1</v>
      </c>
      <c r="AW27" s="5">
        <f t="shared" ref="AW27:AW32" si="23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2"/>
        <v>0</v>
      </c>
      <c r="AV28" s="5">
        <f>AV27+AU28</f>
        <v>1</v>
      </c>
      <c r="AW28" s="5">
        <f t="shared" si="23"/>
        <v>0</v>
      </c>
      <c r="BA28" s="3"/>
      <c r="BB28" s="3"/>
      <c r="BC28" s="2"/>
      <c r="BR28" s="19" t="s">
        <v>127</v>
      </c>
      <c r="BS28" s="63">
        <v>20</v>
      </c>
      <c r="BT28" s="119">
        <f t="shared" si="4"/>
        <v>20</v>
      </c>
      <c r="BU28" s="63">
        <v>16</v>
      </c>
      <c r="BV28" s="119">
        <f t="shared" si="5"/>
        <v>16</v>
      </c>
      <c r="BW28" s="63">
        <v>1</v>
      </c>
      <c r="BX28" s="119">
        <f t="shared" si="6"/>
        <v>0.52</v>
      </c>
      <c r="BY28" s="63">
        <v>21</v>
      </c>
      <c r="BZ28" s="119">
        <f t="shared" si="7"/>
        <v>2.52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39.040000000000006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2"/>
        <v>0</v>
      </c>
      <c r="AV29" s="5">
        <f>AV28+AU29</f>
        <v>1</v>
      </c>
      <c r="AW29" s="5">
        <f t="shared" si="23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656</v>
      </c>
      <c r="BT29" s="5">
        <f t="shared" si="4"/>
        <v>656</v>
      </c>
      <c r="BU29" s="118">
        <f>SUM(BU8:BU28)</f>
        <v>81</v>
      </c>
      <c r="BV29" s="5">
        <f t="shared" si="5"/>
        <v>81</v>
      </c>
      <c r="BW29" s="118">
        <f>SUM(BW8:BW28)</f>
        <v>4</v>
      </c>
      <c r="BX29" s="5">
        <f t="shared" si="6"/>
        <v>2.08</v>
      </c>
      <c r="BY29" s="118">
        <f>SUM(BY8:BY28)</f>
        <v>188</v>
      </c>
      <c r="BZ29" s="5">
        <f t="shared" si="7"/>
        <v>22.56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761.64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2"/>
        <v>0</v>
      </c>
      <c r="AV30" s="5">
        <f>AV29+AU30</f>
        <v>1</v>
      </c>
      <c r="AW30" s="5">
        <f t="shared" si="23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259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$BK69</f>
        <v>39.040000000000006</v>
      </c>
      <c r="Q31" s="40">
        <f t="shared" si="13"/>
        <v>88.400000000000034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2"/>
        <v>0</v>
      </c>
      <c r="AV31" s="5">
        <f>AV30+AU31</f>
        <v>1</v>
      </c>
      <c r="AW31" s="5">
        <f t="shared" si="23"/>
        <v>0</v>
      </c>
      <c r="AZ31" t="s">
        <v>209</v>
      </c>
      <c r="BA31" s="3" t="s">
        <v>210</v>
      </c>
      <c r="BB31" s="3"/>
      <c r="BC31" s="50" t="b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761.64</v>
      </c>
      <c r="BX31" s="324"/>
      <c r="BY31" s="324"/>
      <c r="BZ31" s="5">
        <f>BW69-BW31</f>
        <v>0</v>
      </c>
      <c r="CB31" s="352" t="s">
        <v>259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49">
        <f>SUM(Q11:Q31)</f>
        <v>10185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2"/>
        <v>0</v>
      </c>
      <c r="AV32" s="5">
        <f>AV31+AU32</f>
        <v>1</v>
      </c>
      <c r="AW32" s="5">
        <f t="shared" si="23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3">
        <v>0.89583333333333337</v>
      </c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142.76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LEE</v>
      </c>
      <c r="AA44" s="250">
        <v>761.6400000000001</v>
      </c>
      <c r="AB44" s="250">
        <v>761.6400000000001</v>
      </c>
      <c r="AC44" s="250">
        <f>AC43+AA44</f>
        <v>904.40000000000009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MCKEEVER</v>
      </c>
      <c r="AA45" s="250">
        <v>926.04</v>
      </c>
      <c r="AB45" s="250">
        <v>926.04</v>
      </c>
      <c r="AC45" s="250">
        <f>AC44+AA45</f>
        <v>1830.44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BASSETT</v>
      </c>
      <c r="AA46" s="250">
        <v>1036.24</v>
      </c>
      <c r="AB46" s="250">
        <v>1036.24</v>
      </c>
      <c r="AC46" s="250">
        <f t="shared" ref="AC46:AC63" si="27">AC45+AA46</f>
        <v>2866.6800000000003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761.6400000000001</v>
      </c>
      <c r="AN46" s="2">
        <f>AN47+AL46</f>
        <v>926.04</v>
      </c>
      <c r="AP46" s="2">
        <f>AP47+AN46</f>
        <v>1036.24</v>
      </c>
      <c r="AR46" s="2">
        <f>AR47+AP46</f>
        <v>1039.08</v>
      </c>
      <c r="AS46" s="2"/>
      <c r="AU46" s="2">
        <f>AU47+AR46</f>
        <v>1147.1199999999999</v>
      </c>
      <c r="AW46" s="2">
        <f>AW47+AU46</f>
        <v>1260.76</v>
      </c>
      <c r="AX46" s="2"/>
      <c r="BG46" t="s">
        <v>218</v>
      </c>
    </row>
    <row r="47" spans="4:75" x14ac:dyDescent="0.25">
      <c r="Z47" s="253" t="str">
        <v>HENDERSON</v>
      </c>
      <c r="AA47" s="250">
        <v>1039.08</v>
      </c>
      <c r="AB47" s="250">
        <v>1039.08</v>
      </c>
      <c r="AC47" s="250">
        <f t="shared" si="27"/>
        <v>3905.76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761.6400000000001</v>
      </c>
      <c r="AN47" s="2">
        <f>MIN(AN48:AN67)</f>
        <v>164.39999999999986</v>
      </c>
      <c r="AP47" s="2">
        <f>MIN(AP48:AP67)</f>
        <v>110.20000000000005</v>
      </c>
      <c r="AR47" s="2">
        <f>MIN(AR48:AR67)</f>
        <v>2.8399999999999181</v>
      </c>
      <c r="AS47" s="2"/>
      <c r="AU47" s="2">
        <f>MIN(AU48:AU67)</f>
        <v>108.03999999999996</v>
      </c>
      <c r="AW47" s="2">
        <f>MIN(AW48:AW67)</f>
        <v>113.6400000000001</v>
      </c>
      <c r="AX47" s="2"/>
    </row>
    <row r="48" spans="4:75" ht="37.5" x14ac:dyDescent="0.25">
      <c r="Z48" s="253" t="str">
        <v>GALLEN</v>
      </c>
      <c r="AA48" s="250">
        <v>1147.1199999999999</v>
      </c>
      <c r="AB48" s="250">
        <v>1147.1199999999999</v>
      </c>
      <c r="AC48" s="250">
        <f t="shared" si="27"/>
        <v>5052.88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BASSETT</v>
      </c>
      <c r="AK48" s="2">
        <f t="shared" si="28"/>
        <v>1036.24</v>
      </c>
      <c r="AL48">
        <f>IF(AK48&lt;&gt;0,AK48,1000000)</f>
        <v>1036.24</v>
      </c>
      <c r="AM48" s="2">
        <f t="shared" ref="AM48:AM67" si="29">AL48-AL$47</f>
        <v>274.59999999999991</v>
      </c>
      <c r="AN48">
        <f>IF(AM48&lt;&gt;0,AM48,1000000)</f>
        <v>274.59999999999991</v>
      </c>
      <c r="AO48" s="2">
        <f t="shared" ref="AO48:AO67" si="30">AN48-AN$47</f>
        <v>110.20000000000005</v>
      </c>
      <c r="AP48">
        <f t="shared" ref="AP48:AP67" si="31">IF(AO48&lt;&gt;0,AO48,1000000)</f>
        <v>110.20000000000005</v>
      </c>
      <c r="AQ48" s="2">
        <f t="shared" ref="AQ48:AQ67" si="32">AP48-AP$47</f>
        <v>0</v>
      </c>
      <c r="AR48">
        <f t="shared" ref="AR48:AR67" si="33">IF(AQ48&lt;&gt;0,AQ48,1000000)</f>
        <v>1000000</v>
      </c>
      <c r="AT48" s="2">
        <f t="shared" ref="AT48:AT67" si="34">AR48-AR$47</f>
        <v>999997.16</v>
      </c>
      <c r="AU48">
        <f t="shared" ref="AU48:AU67" si="35">IF(AT48&lt;&gt;0,AT48,1000000)</f>
        <v>999997.16</v>
      </c>
      <c r="AV48" s="2">
        <f t="shared" ref="AV48:AV67" si="36">AU48-AU$47</f>
        <v>999889.12</v>
      </c>
      <c r="AW48">
        <f t="shared" ref="AW48:AW67" si="37">IF(AV48&lt;&gt;0,AV48,1000000)</f>
        <v>999889.12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CARLIN</v>
      </c>
      <c r="AA49" s="250">
        <v>1260.76</v>
      </c>
      <c r="AB49" s="250">
        <v>1260.76</v>
      </c>
      <c r="AC49" s="250">
        <f t="shared" si="27"/>
        <v>6313.64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CARLIN</v>
      </c>
      <c r="AK49" s="2">
        <f t="shared" si="28"/>
        <v>1260.76</v>
      </c>
      <c r="AL49">
        <f t="shared" ref="AL49:AL67" si="38">IF(AK49&lt;&gt;0,AK49,1000000)</f>
        <v>1260.76</v>
      </c>
      <c r="AM49" s="2">
        <f t="shared" si="29"/>
        <v>499.11999999999989</v>
      </c>
      <c r="AN49">
        <f t="shared" ref="AN49:AN67" si="39">IF(AM49&lt;&gt;0,AM49,1000000)</f>
        <v>499.11999999999989</v>
      </c>
      <c r="AO49" s="2">
        <f t="shared" si="30"/>
        <v>334.72</v>
      </c>
      <c r="AP49">
        <f t="shared" si="31"/>
        <v>334.72</v>
      </c>
      <c r="AQ49" s="2">
        <f t="shared" si="32"/>
        <v>224.51999999999998</v>
      </c>
      <c r="AR49">
        <f t="shared" si="33"/>
        <v>224.51999999999998</v>
      </c>
      <c r="AT49" s="2">
        <f t="shared" si="34"/>
        <v>221.68000000000006</v>
      </c>
      <c r="AU49">
        <f t="shared" si="35"/>
        <v>221.68000000000006</v>
      </c>
      <c r="AV49" s="2">
        <f t="shared" si="36"/>
        <v>113.6400000000001</v>
      </c>
      <c r="AW49">
        <f t="shared" si="37"/>
        <v>113.6400000000001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BASSETT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59.36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GUY</v>
      </c>
      <c r="AA50" s="250">
        <v>1274</v>
      </c>
      <c r="AB50" s="250">
        <v>1274</v>
      </c>
      <c r="AC50" s="250">
        <f t="shared" si="27"/>
        <v>7587.64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EATON</v>
      </c>
      <c r="AK50" s="2">
        <f t="shared" si="28"/>
        <v>1416.76</v>
      </c>
      <c r="AL50">
        <f t="shared" si="38"/>
        <v>1416.76</v>
      </c>
      <c r="AM50" s="2">
        <f t="shared" si="29"/>
        <v>655.11999999999989</v>
      </c>
      <c r="AN50">
        <f t="shared" si="39"/>
        <v>655.11999999999989</v>
      </c>
      <c r="AO50" s="2">
        <f t="shared" si="30"/>
        <v>490.72</v>
      </c>
      <c r="AP50">
        <f t="shared" si="31"/>
        <v>490.72</v>
      </c>
      <c r="AQ50" s="2">
        <f t="shared" si="32"/>
        <v>380.52</v>
      </c>
      <c r="AR50">
        <f t="shared" si="33"/>
        <v>380.52</v>
      </c>
      <c r="AT50" s="2">
        <f t="shared" si="34"/>
        <v>377.68000000000006</v>
      </c>
      <c r="AU50">
        <f t="shared" si="35"/>
        <v>377.68000000000006</v>
      </c>
      <c r="AV50" s="2">
        <f t="shared" si="36"/>
        <v>269.6400000000001</v>
      </c>
      <c r="AW50">
        <f t="shared" si="37"/>
        <v>269.6400000000001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CARLIN</v>
      </c>
      <c r="BH50" s="128"/>
      <c r="BI50" s="5">
        <f t="shared" si="41"/>
        <v>0</v>
      </c>
      <c r="BJ50" s="5">
        <f t="shared" si="42"/>
        <v>0</v>
      </c>
      <c r="BK50" s="5">
        <f t="shared" si="43"/>
        <v>54</v>
      </c>
      <c r="BN50" s="5">
        <f t="shared" ref="BN50:BN68" si="44">IF(BP9="y",-BO9,0)</f>
        <v>0</v>
      </c>
      <c r="BW50" s="5">
        <f t="shared" ref="BW50:BW68" si="45">IF(BP9="y",BO9,0)</f>
        <v>0</v>
      </c>
    </row>
    <row r="51" spans="26:75" ht="12.75" customHeight="1" x14ac:dyDescent="0.25">
      <c r="Z51" s="253" t="str">
        <v>HIGGINSON</v>
      </c>
      <c r="AA51" s="250">
        <v>1274</v>
      </c>
      <c r="AB51" s="250">
        <v>1274</v>
      </c>
      <c r="AC51" s="250">
        <f t="shared" si="27"/>
        <v>8861.64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GALLEN</v>
      </c>
      <c r="AK51" s="2">
        <f t="shared" si="28"/>
        <v>1147.1199999999999</v>
      </c>
      <c r="AL51">
        <f t="shared" si="38"/>
        <v>1147.1199999999999</v>
      </c>
      <c r="AM51" s="2">
        <f t="shared" si="29"/>
        <v>385.47999999999979</v>
      </c>
      <c r="AN51">
        <f t="shared" si="39"/>
        <v>385.47999999999979</v>
      </c>
      <c r="AO51" s="2">
        <f t="shared" si="30"/>
        <v>221.07999999999993</v>
      </c>
      <c r="AP51">
        <f t="shared" si="31"/>
        <v>221.07999999999993</v>
      </c>
      <c r="AQ51" s="2">
        <f t="shared" si="32"/>
        <v>110.87999999999988</v>
      </c>
      <c r="AR51">
        <f t="shared" si="33"/>
        <v>110.87999999999988</v>
      </c>
      <c r="AT51" s="2">
        <f t="shared" si="34"/>
        <v>108.03999999999996</v>
      </c>
      <c r="AU51">
        <f t="shared" si="35"/>
        <v>108.03999999999996</v>
      </c>
      <c r="AV51" s="2">
        <f t="shared" si="36"/>
        <v>0</v>
      </c>
      <c r="AW51">
        <f t="shared" si="37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EATON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 t="str">
        <v>EATON</v>
      </c>
      <c r="AA52" s="250">
        <v>1416.76</v>
      </c>
      <c r="AB52" s="250">
        <v>1416.76</v>
      </c>
      <c r="AC52" s="250">
        <f t="shared" si="27"/>
        <v>10278.4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GUY</v>
      </c>
      <c r="AK52" s="2">
        <f t="shared" si="28"/>
        <v>1274</v>
      </c>
      <c r="AL52">
        <f t="shared" si="38"/>
        <v>1274</v>
      </c>
      <c r="AM52" s="2">
        <f t="shared" si="29"/>
        <v>512.3599999999999</v>
      </c>
      <c r="AN52">
        <f t="shared" si="39"/>
        <v>512.3599999999999</v>
      </c>
      <c r="AO52" s="2">
        <f t="shared" si="30"/>
        <v>347.96000000000004</v>
      </c>
      <c r="AP52">
        <f t="shared" si="31"/>
        <v>347.96000000000004</v>
      </c>
      <c r="AQ52" s="2">
        <f t="shared" si="32"/>
        <v>237.76</v>
      </c>
      <c r="AR52">
        <f t="shared" si="33"/>
        <v>237.76</v>
      </c>
      <c r="AT52" s="2">
        <f t="shared" si="34"/>
        <v>234.92000000000007</v>
      </c>
      <c r="AU52">
        <f t="shared" si="35"/>
        <v>234.92000000000007</v>
      </c>
      <c r="AV52" s="2">
        <f t="shared" si="36"/>
        <v>126.88000000000011</v>
      </c>
      <c r="AW52">
        <f t="shared" si="37"/>
        <v>126.88000000000011</v>
      </c>
      <c r="BE52" s="5">
        <f>IF($BH23="y",$BE23,IF($BH24="y",$BE24,0))</f>
        <v>0</v>
      </c>
      <c r="BG52" s="127" t="str">
        <f t="shared" si="40"/>
        <v>GALLEN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466</v>
      </c>
      <c r="BN52" s="5">
        <f t="shared" si="44"/>
        <v>0</v>
      </c>
      <c r="BW52" s="5">
        <f t="shared" si="45"/>
        <v>0</v>
      </c>
    </row>
    <row r="53" spans="26:75" x14ac:dyDescent="0.25">
      <c r="Z53" s="253" t="str">
        <v>HAMLEY</v>
      </c>
      <c r="AA53" s="250">
        <v>0</v>
      </c>
      <c r="AB53" s="250">
        <v>1000000</v>
      </c>
      <c r="AC53" s="250">
        <f t="shared" si="27"/>
        <v>10278.4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HAMLEY</v>
      </c>
      <c r="AK53" s="2">
        <f t="shared" si="28"/>
        <v>0</v>
      </c>
      <c r="AL53">
        <f t="shared" si="38"/>
        <v>1000000</v>
      </c>
      <c r="AM53" s="2">
        <f t="shared" si="29"/>
        <v>999238.36</v>
      </c>
      <c r="AN53">
        <f t="shared" si="39"/>
        <v>999238.36</v>
      </c>
      <c r="AO53" s="2">
        <f t="shared" si="30"/>
        <v>999073.96</v>
      </c>
      <c r="AP53">
        <f t="shared" si="31"/>
        <v>999073.96</v>
      </c>
      <c r="AQ53" s="2">
        <f t="shared" si="32"/>
        <v>998963.76</v>
      </c>
      <c r="AR53">
        <f t="shared" si="33"/>
        <v>998963.76</v>
      </c>
      <c r="AT53" s="2">
        <f t="shared" si="34"/>
        <v>998960.92</v>
      </c>
      <c r="AU53">
        <f t="shared" si="35"/>
        <v>998960.92</v>
      </c>
      <c r="AV53" s="2">
        <f t="shared" si="36"/>
        <v>998852.88</v>
      </c>
      <c r="AW53">
        <f t="shared" si="37"/>
        <v>998852.88</v>
      </c>
      <c r="BG53" s="127" t="str">
        <f t="shared" si="40"/>
        <v>GUY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7"/>
        <v>10278.4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HENDERSON</v>
      </c>
      <c r="AK54" s="2">
        <f t="shared" si="28"/>
        <v>1039.08</v>
      </c>
      <c r="AL54">
        <f t="shared" si="38"/>
        <v>1039.08</v>
      </c>
      <c r="AM54" s="2">
        <f t="shared" si="29"/>
        <v>277.43999999999983</v>
      </c>
      <c r="AN54">
        <f t="shared" si="39"/>
        <v>277.43999999999983</v>
      </c>
      <c r="AO54" s="2">
        <f t="shared" si="30"/>
        <v>113.03999999999996</v>
      </c>
      <c r="AP54">
        <f t="shared" si="31"/>
        <v>113.03999999999996</v>
      </c>
      <c r="AQ54" s="2">
        <f t="shared" si="32"/>
        <v>2.8399999999999181</v>
      </c>
      <c r="AR54">
        <f t="shared" si="33"/>
        <v>2.8399999999999181</v>
      </c>
      <c r="AT54" s="2">
        <f t="shared" si="34"/>
        <v>0</v>
      </c>
      <c r="AU54">
        <f t="shared" si="35"/>
        <v>1000000</v>
      </c>
      <c r="AV54" s="2">
        <f t="shared" si="36"/>
        <v>999891.96</v>
      </c>
      <c r="AW54">
        <f t="shared" si="37"/>
        <v>999891.96</v>
      </c>
      <c r="BG54" s="127" t="str">
        <f t="shared" si="40"/>
        <v>HAMLEY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0</v>
      </c>
      <c r="BN54" s="5">
        <f t="shared" si="44"/>
        <v>0</v>
      </c>
      <c r="BW54" s="5">
        <f t="shared" si="45"/>
        <v>0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7"/>
        <v>10278.4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HIGGINSON</v>
      </c>
      <c r="AK55" s="2">
        <f t="shared" si="28"/>
        <v>1274</v>
      </c>
      <c r="AL55">
        <f t="shared" si="38"/>
        <v>1274</v>
      </c>
      <c r="AM55" s="2">
        <f t="shared" si="29"/>
        <v>512.3599999999999</v>
      </c>
      <c r="AN55">
        <f t="shared" si="39"/>
        <v>512.3599999999999</v>
      </c>
      <c r="AO55" s="2">
        <f t="shared" si="30"/>
        <v>347.96000000000004</v>
      </c>
      <c r="AP55">
        <f t="shared" si="31"/>
        <v>347.96000000000004</v>
      </c>
      <c r="AQ55" s="2">
        <f t="shared" si="32"/>
        <v>237.76</v>
      </c>
      <c r="AR55">
        <f t="shared" si="33"/>
        <v>237.76</v>
      </c>
      <c r="AT55" s="2">
        <f t="shared" si="34"/>
        <v>234.92000000000007</v>
      </c>
      <c r="AU55">
        <f t="shared" si="35"/>
        <v>234.92000000000007</v>
      </c>
      <c r="AV55" s="2">
        <f t="shared" si="36"/>
        <v>126.88000000000011</v>
      </c>
      <c r="AW55">
        <f t="shared" si="37"/>
        <v>126.88000000000011</v>
      </c>
      <c r="BG55" s="127" t="str">
        <f t="shared" si="40"/>
        <v>HENDERSON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20.52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10278.4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8"/>
        <v>LEE</v>
      </c>
      <c r="AK56" s="2">
        <f t="shared" si="28"/>
        <v>761.6400000000001</v>
      </c>
      <c r="AL56">
        <f t="shared" si="38"/>
        <v>761.6400000000001</v>
      </c>
      <c r="AM56" s="2">
        <f t="shared" si="29"/>
        <v>0</v>
      </c>
      <c r="AN56">
        <f t="shared" si="39"/>
        <v>1000000</v>
      </c>
      <c r="AO56" s="2">
        <f t="shared" si="30"/>
        <v>999835.6</v>
      </c>
      <c r="AP56">
        <f t="shared" si="31"/>
        <v>999835.6</v>
      </c>
      <c r="AQ56" s="2">
        <f t="shared" si="32"/>
        <v>999725.4</v>
      </c>
      <c r="AR56">
        <f t="shared" si="33"/>
        <v>999725.4</v>
      </c>
      <c r="AT56" s="2">
        <f t="shared" si="34"/>
        <v>999722.56</v>
      </c>
      <c r="AU56">
        <f t="shared" si="35"/>
        <v>999722.56</v>
      </c>
      <c r="AV56" s="2">
        <f t="shared" si="36"/>
        <v>999614.52</v>
      </c>
      <c r="AW56">
        <f t="shared" si="37"/>
        <v>999614.52</v>
      </c>
      <c r="BG56" s="127" t="str">
        <f t="shared" si="40"/>
        <v>HIGGINSON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0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10278.4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8"/>
        <v>MCKEEVER</v>
      </c>
      <c r="AK57" s="2">
        <f t="shared" si="28"/>
        <v>926.04</v>
      </c>
      <c r="AL57">
        <f t="shared" si="38"/>
        <v>926.04</v>
      </c>
      <c r="AM57" s="2">
        <f t="shared" si="29"/>
        <v>164.39999999999986</v>
      </c>
      <c r="AN57">
        <f t="shared" si="39"/>
        <v>164.39999999999986</v>
      </c>
      <c r="AO57" s="2">
        <f t="shared" si="30"/>
        <v>0</v>
      </c>
      <c r="AP57">
        <f t="shared" si="31"/>
        <v>1000000</v>
      </c>
      <c r="AQ57" s="2">
        <f t="shared" si="32"/>
        <v>999889.8</v>
      </c>
      <c r="AR57">
        <f t="shared" si="33"/>
        <v>999889.8</v>
      </c>
      <c r="AT57" s="2">
        <f t="shared" si="34"/>
        <v>999886.96000000008</v>
      </c>
      <c r="AU57">
        <f t="shared" si="35"/>
        <v>999886.96000000008</v>
      </c>
      <c r="AV57" s="2">
        <f t="shared" si="36"/>
        <v>999778.92</v>
      </c>
      <c r="AW57">
        <f t="shared" si="37"/>
        <v>999778.92</v>
      </c>
      <c r="BG57" s="127" t="str">
        <f t="shared" si="40"/>
        <v>LEE</v>
      </c>
      <c r="BH57" s="128"/>
      <c r="BI57" s="5">
        <f t="shared" si="41"/>
        <v>0</v>
      </c>
      <c r="BJ57" s="5">
        <f t="shared" si="42"/>
        <v>-761.6400000000001</v>
      </c>
      <c r="BK57" s="5">
        <f t="shared" si="43"/>
        <v>-761.6400000000001</v>
      </c>
      <c r="BN57" s="5">
        <f t="shared" si="44"/>
        <v>-761.6400000000001</v>
      </c>
      <c r="BW57" s="5">
        <f t="shared" si="45"/>
        <v>761.6400000000001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10278.4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8"/>
        <v>MILLER</v>
      </c>
      <c r="AK58" s="2">
        <f t="shared" si="28"/>
        <v>0</v>
      </c>
      <c r="AL58">
        <f t="shared" si="38"/>
        <v>1000000</v>
      </c>
      <c r="AM58" s="2">
        <f t="shared" si="29"/>
        <v>999238.36</v>
      </c>
      <c r="AN58">
        <f t="shared" si="39"/>
        <v>999238.36</v>
      </c>
      <c r="AO58" s="2">
        <f t="shared" si="30"/>
        <v>999073.96</v>
      </c>
      <c r="AP58">
        <f t="shared" si="31"/>
        <v>999073.96</v>
      </c>
      <c r="AQ58" s="2">
        <f t="shared" si="32"/>
        <v>998963.76</v>
      </c>
      <c r="AR58">
        <f t="shared" si="33"/>
        <v>998963.76</v>
      </c>
      <c r="AT58" s="2">
        <f t="shared" si="34"/>
        <v>998960.92</v>
      </c>
      <c r="AU58">
        <f t="shared" si="35"/>
        <v>998960.92</v>
      </c>
      <c r="AV58" s="2">
        <f t="shared" si="36"/>
        <v>998852.88</v>
      </c>
      <c r="AW58">
        <f t="shared" si="37"/>
        <v>998852.88</v>
      </c>
      <c r="BG58" s="127" t="str">
        <f t="shared" si="40"/>
        <v>MCKEEVER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122.72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10278.4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8"/>
        <v>TRAYNOR</v>
      </c>
      <c r="AK59" s="2">
        <f t="shared" si="28"/>
        <v>0</v>
      </c>
      <c r="AL59">
        <f t="shared" si="38"/>
        <v>1000000</v>
      </c>
      <c r="AM59" s="2">
        <f t="shared" si="29"/>
        <v>999238.36</v>
      </c>
      <c r="AN59">
        <f t="shared" si="39"/>
        <v>999238.36</v>
      </c>
      <c r="AO59" s="2">
        <f t="shared" si="30"/>
        <v>999073.96</v>
      </c>
      <c r="AP59">
        <f t="shared" si="31"/>
        <v>999073.96</v>
      </c>
      <c r="AQ59" s="2">
        <f t="shared" si="32"/>
        <v>998963.76</v>
      </c>
      <c r="AR59">
        <f t="shared" si="33"/>
        <v>998963.76</v>
      </c>
      <c r="AT59" s="2">
        <f t="shared" si="34"/>
        <v>998960.92</v>
      </c>
      <c r="AU59">
        <f t="shared" si="35"/>
        <v>998960.92</v>
      </c>
      <c r="AV59" s="2">
        <f t="shared" si="36"/>
        <v>998852.88</v>
      </c>
      <c r="AW59">
        <f t="shared" si="37"/>
        <v>998852.88</v>
      </c>
      <c r="BG59" s="127" t="str">
        <f t="shared" si="40"/>
        <v>MILLER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10278.4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999238.36</v>
      </c>
      <c r="AN60">
        <f t="shared" si="39"/>
        <v>999238.36</v>
      </c>
      <c r="AO60" s="2">
        <f t="shared" si="30"/>
        <v>999073.96</v>
      </c>
      <c r="AP60">
        <f t="shared" si="31"/>
        <v>999073.96</v>
      </c>
      <c r="AQ60" s="2">
        <f t="shared" si="32"/>
        <v>998963.76</v>
      </c>
      <c r="AR60">
        <f t="shared" si="33"/>
        <v>998963.76</v>
      </c>
      <c r="AT60" s="2">
        <f t="shared" si="34"/>
        <v>998960.92</v>
      </c>
      <c r="AU60">
        <f t="shared" si="35"/>
        <v>998960.92</v>
      </c>
      <c r="AV60" s="2">
        <f t="shared" si="36"/>
        <v>998852.88</v>
      </c>
      <c r="AW60">
        <f t="shared" si="37"/>
        <v>998852.88</v>
      </c>
      <c r="BG60" s="127" t="str">
        <f t="shared" si="40"/>
        <v>TRAYNOR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10278.4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999238.36</v>
      </c>
      <c r="AN61">
        <f t="shared" si="39"/>
        <v>999238.36</v>
      </c>
      <c r="AO61" s="2">
        <f t="shared" si="30"/>
        <v>999073.96</v>
      </c>
      <c r="AP61">
        <f t="shared" si="31"/>
        <v>999073.96</v>
      </c>
      <c r="AQ61" s="2">
        <f t="shared" si="32"/>
        <v>998963.76</v>
      </c>
      <c r="AR61">
        <f t="shared" si="33"/>
        <v>998963.76</v>
      </c>
      <c r="AT61" s="2">
        <f t="shared" si="34"/>
        <v>998960.92</v>
      </c>
      <c r="AU61">
        <f t="shared" si="35"/>
        <v>998960.92</v>
      </c>
      <c r="AV61" s="2">
        <f t="shared" si="36"/>
        <v>998852.88</v>
      </c>
      <c r="AW61">
        <f t="shared" si="37"/>
        <v>998852.88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10278.4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999238.36</v>
      </c>
      <c r="AN62">
        <f t="shared" si="39"/>
        <v>999238.36</v>
      </c>
      <c r="AO62" s="2">
        <f t="shared" si="30"/>
        <v>999073.96</v>
      </c>
      <c r="AP62">
        <f t="shared" si="31"/>
        <v>999073.96</v>
      </c>
      <c r="AQ62" s="2">
        <f t="shared" si="32"/>
        <v>998963.76</v>
      </c>
      <c r="AR62">
        <f t="shared" si="33"/>
        <v>998963.76</v>
      </c>
      <c r="AT62" s="2">
        <f t="shared" si="34"/>
        <v>998960.92</v>
      </c>
      <c r="AU62">
        <f t="shared" si="35"/>
        <v>998960.92</v>
      </c>
      <c r="AV62" s="2">
        <f t="shared" si="36"/>
        <v>998852.88</v>
      </c>
      <c r="AW62">
        <f t="shared" si="37"/>
        <v>998852.88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10278.4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999238.36</v>
      </c>
      <c r="AN63">
        <f t="shared" si="39"/>
        <v>999238.36</v>
      </c>
      <c r="AO63" s="2">
        <f t="shared" si="30"/>
        <v>999073.96</v>
      </c>
      <c r="AP63">
        <f t="shared" si="31"/>
        <v>999073.96</v>
      </c>
      <c r="AQ63" s="2">
        <f t="shared" si="32"/>
        <v>998963.76</v>
      </c>
      <c r="AR63">
        <f t="shared" si="33"/>
        <v>998963.76</v>
      </c>
      <c r="AT63" s="2">
        <f t="shared" si="34"/>
        <v>998960.92</v>
      </c>
      <c r="AU63">
        <f t="shared" si="35"/>
        <v>998960.92</v>
      </c>
      <c r="AV63" s="2">
        <f t="shared" si="36"/>
        <v>998852.88</v>
      </c>
      <c r="AW63">
        <f t="shared" si="37"/>
        <v>998852.88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999238.36</v>
      </c>
      <c r="AN64">
        <f t="shared" si="39"/>
        <v>999238.36</v>
      </c>
      <c r="AO64" s="2">
        <f t="shared" si="30"/>
        <v>999073.96</v>
      </c>
      <c r="AP64">
        <f t="shared" si="31"/>
        <v>999073.96</v>
      </c>
      <c r="AQ64" s="2">
        <f t="shared" si="32"/>
        <v>998963.76</v>
      </c>
      <c r="AR64">
        <f t="shared" si="33"/>
        <v>998963.76</v>
      </c>
      <c r="AT64" s="2">
        <f t="shared" si="34"/>
        <v>998960.92</v>
      </c>
      <c r="AU64">
        <f t="shared" si="35"/>
        <v>998960.92</v>
      </c>
      <c r="AV64" s="2">
        <f t="shared" si="36"/>
        <v>998852.88</v>
      </c>
      <c r="AW64">
        <f t="shared" si="37"/>
        <v>998852.88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999238.36</v>
      </c>
      <c r="AN65">
        <f t="shared" si="39"/>
        <v>999238.36</v>
      </c>
      <c r="AO65" s="2">
        <f t="shared" si="30"/>
        <v>999073.96</v>
      </c>
      <c r="AP65">
        <f t="shared" si="31"/>
        <v>999073.96</v>
      </c>
      <c r="AQ65" s="2">
        <f t="shared" si="32"/>
        <v>998963.76</v>
      </c>
      <c r="AR65">
        <f t="shared" si="33"/>
        <v>998963.76</v>
      </c>
      <c r="AT65" s="2">
        <f t="shared" si="34"/>
        <v>998960.92</v>
      </c>
      <c r="AU65">
        <f t="shared" si="35"/>
        <v>998960.92</v>
      </c>
      <c r="AV65" s="2">
        <f t="shared" si="36"/>
        <v>998852.88</v>
      </c>
      <c r="AW65">
        <f t="shared" si="37"/>
        <v>998852.88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999238.36</v>
      </c>
      <c r="AN66">
        <f t="shared" si="39"/>
        <v>999238.36</v>
      </c>
      <c r="AO66" s="2">
        <f t="shared" si="30"/>
        <v>999073.96</v>
      </c>
      <c r="AP66">
        <f t="shared" si="31"/>
        <v>999073.96</v>
      </c>
      <c r="AQ66" s="2">
        <f t="shared" si="32"/>
        <v>998963.76</v>
      </c>
      <c r="AR66">
        <f t="shared" si="33"/>
        <v>998963.76</v>
      </c>
      <c r="AT66" s="2">
        <f t="shared" si="34"/>
        <v>998960.92</v>
      </c>
      <c r="AU66">
        <f t="shared" si="35"/>
        <v>998960.92</v>
      </c>
      <c r="AV66" s="2">
        <f t="shared" si="36"/>
        <v>998852.88</v>
      </c>
      <c r="AW66">
        <f t="shared" si="37"/>
        <v>998852.88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999238.36</v>
      </c>
      <c r="AN67">
        <f t="shared" si="39"/>
        <v>999238.36</v>
      </c>
      <c r="AO67" s="2">
        <f t="shared" si="30"/>
        <v>999073.96</v>
      </c>
      <c r="AP67">
        <f t="shared" si="31"/>
        <v>999073.96</v>
      </c>
      <c r="AQ67" s="2">
        <f t="shared" si="32"/>
        <v>998963.76</v>
      </c>
      <c r="AR67">
        <f t="shared" si="33"/>
        <v>998963.76</v>
      </c>
      <c r="AT67" s="2">
        <f t="shared" si="34"/>
        <v>998960.92</v>
      </c>
      <c r="AU67">
        <f t="shared" si="35"/>
        <v>998960.92</v>
      </c>
      <c r="AV67" s="2">
        <f t="shared" si="36"/>
        <v>998852.88</v>
      </c>
      <c r="AW67">
        <f t="shared" si="37"/>
        <v>998852.88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225</v>
      </c>
      <c r="BI69" s="5">
        <f>BG26</f>
        <v>0</v>
      </c>
      <c r="BJ69" s="5">
        <f>CE28</f>
        <v>39.040000000000006</v>
      </c>
      <c r="BK69" s="5">
        <f>BI69+BJ69</f>
        <v>39.040000000000006</v>
      </c>
      <c r="BW69" s="5">
        <f>SUM(BW49:BW68)</f>
        <v>761.6400000000001</v>
      </c>
    </row>
    <row r="70" spans="36:75" x14ac:dyDescent="0.25">
      <c r="BK70" s="5">
        <f>BG27+CE29</f>
        <v>761.64</v>
      </c>
    </row>
    <row r="82" spans="41:46" x14ac:dyDescent="0.25">
      <c r="AO82" s="5">
        <f>IF(AO20&lt;&gt;0,1,0)</f>
        <v>1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1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260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P11</f>
        <v>59.36</v>
      </c>
      <c r="DF211" s="233">
        <f>Q11</f>
        <v>1095.5999999999999</v>
      </c>
    </row>
    <row r="212" spans="105:110" ht="15.5" x14ac:dyDescent="0.35">
      <c r="DA212" s="232" t="str">
        <f t="shared" ref="DA212:DA230" si="50">IF(A12="Elected","E",IF(A12="Excluded","Excluded",""))&amp;IF(B12&gt;0,B12,"")</f>
        <v>E</v>
      </c>
      <c r="DB212" s="232" t="str">
        <f t="shared" ref="DB212:DD227" si="51">C12</f>
        <v>CARLIN</v>
      </c>
      <c r="DC212" s="232" t="str">
        <f t="shared" si="51"/>
        <v>Sinn Féin</v>
      </c>
      <c r="DD212" s="233">
        <f t="shared" si="51"/>
        <v>1204</v>
      </c>
      <c r="DE212" s="233">
        <f t="shared" ref="DE212:DF212" si="52">P12</f>
        <v>54</v>
      </c>
      <c r="DF212" s="233">
        <f t="shared" si="52"/>
        <v>1314.76</v>
      </c>
    </row>
    <row r="213" spans="105:110" ht="15.5" x14ac:dyDescent="0.35">
      <c r="DA213" s="232" t="str">
        <f t="shared" si="50"/>
        <v>E</v>
      </c>
      <c r="DB213" s="232" t="str">
        <f t="shared" si="51"/>
        <v>EATON</v>
      </c>
      <c r="DC213" s="232" t="str">
        <f t="shared" si="51"/>
        <v>Alliance Party</v>
      </c>
      <c r="DD213" s="233">
        <f t="shared" si="51"/>
        <v>1116</v>
      </c>
      <c r="DE213" s="233">
        <f t="shared" ref="DE213:DF213" si="53">P13</f>
        <v>0</v>
      </c>
      <c r="DF213" s="233">
        <f t="shared" si="53"/>
        <v>1416.76</v>
      </c>
    </row>
    <row r="214" spans="105:110" ht="15.5" x14ac:dyDescent="0.35">
      <c r="DA214" s="232" t="str">
        <f t="shared" si="50"/>
        <v>E</v>
      </c>
      <c r="DB214" s="232" t="str">
        <f t="shared" si="51"/>
        <v>GALLEN</v>
      </c>
      <c r="DC214" s="232" t="str">
        <f t="shared" si="51"/>
        <v>SDLP</v>
      </c>
      <c r="DD214" s="233">
        <f t="shared" si="51"/>
        <v>1035</v>
      </c>
      <c r="DE214" s="233">
        <f t="shared" ref="DE214:DF214" si="54">P14</f>
        <v>466</v>
      </c>
      <c r="DF214" s="233">
        <f t="shared" si="54"/>
        <v>1613.12</v>
      </c>
    </row>
    <row r="215" spans="105:110" ht="15.5" x14ac:dyDescent="0.35">
      <c r="DA215" s="232" t="str">
        <f t="shared" si="50"/>
        <v>E</v>
      </c>
      <c r="DB215" s="232" t="str">
        <f t="shared" si="51"/>
        <v>GUY</v>
      </c>
      <c r="DC215" s="232" t="str">
        <f t="shared" si="51"/>
        <v>Alliance Party</v>
      </c>
      <c r="DD215" s="233">
        <f t="shared" si="51"/>
        <v>1452</v>
      </c>
      <c r="DE215" s="233">
        <f t="shared" ref="DE215:DF215" si="55">P15</f>
        <v>0</v>
      </c>
      <c r="DF215" s="233">
        <f t="shared" si="55"/>
        <v>1274</v>
      </c>
    </row>
    <row r="216" spans="105:110" ht="15.5" x14ac:dyDescent="0.35">
      <c r="DA216" s="232" t="str">
        <f t="shared" si="50"/>
        <v>Excluded</v>
      </c>
      <c r="DB216" s="232" t="str">
        <f t="shared" si="51"/>
        <v>HAMLEY</v>
      </c>
      <c r="DC216" s="232" t="str">
        <f t="shared" si="51"/>
        <v>Green Party NI</v>
      </c>
      <c r="DD216" s="233">
        <f t="shared" si="51"/>
        <v>656</v>
      </c>
      <c r="DE216" s="233">
        <f t="shared" ref="DE216:DF216" si="56">P16</f>
        <v>0</v>
      </c>
      <c r="DF216" s="233">
        <f t="shared" si="56"/>
        <v>0</v>
      </c>
    </row>
    <row r="217" spans="105:110" ht="15.5" x14ac:dyDescent="0.35">
      <c r="DA217" s="232" t="str">
        <f t="shared" si="50"/>
        <v/>
      </c>
      <c r="DB217" s="232" t="str">
        <f t="shared" si="51"/>
        <v>HENDERSON</v>
      </c>
      <c r="DC217" s="232" t="str">
        <f t="shared" si="51"/>
        <v>UUP</v>
      </c>
      <c r="DD217" s="233">
        <f t="shared" si="51"/>
        <v>760</v>
      </c>
      <c r="DE217" s="233">
        <f t="shared" ref="DE217:DF217" si="57">P17</f>
        <v>20.52</v>
      </c>
      <c r="DF217" s="233">
        <f t="shared" si="57"/>
        <v>1059.5999999999999</v>
      </c>
    </row>
    <row r="218" spans="105:110" ht="15.5" x14ac:dyDescent="0.35">
      <c r="DA218" s="232" t="str">
        <f t="shared" si="50"/>
        <v>E</v>
      </c>
      <c r="DB218" s="232" t="str">
        <f t="shared" si="51"/>
        <v>HIGGINSON</v>
      </c>
      <c r="DC218" s="232" t="str">
        <f t="shared" si="51"/>
        <v>D.U.P.</v>
      </c>
      <c r="DD218" s="233">
        <f t="shared" si="51"/>
        <v>1006</v>
      </c>
      <c r="DE218" s="233">
        <f t="shared" ref="DE218:DF218" si="58">P18</f>
        <v>0</v>
      </c>
      <c r="DF218" s="233">
        <f t="shared" si="58"/>
        <v>1274</v>
      </c>
    </row>
    <row r="219" spans="105:110" ht="15.5" x14ac:dyDescent="0.35">
      <c r="DA219" s="232" t="str">
        <f t="shared" si="50"/>
        <v>Excluded</v>
      </c>
      <c r="DB219" s="232" t="str">
        <f t="shared" si="51"/>
        <v>LEE</v>
      </c>
      <c r="DC219" s="232" t="str">
        <f t="shared" si="51"/>
        <v xml:space="preserve">SDLP </v>
      </c>
      <c r="DD219" s="233">
        <f t="shared" si="51"/>
        <v>656</v>
      </c>
      <c r="DE219" s="233">
        <f t="shared" ref="DE219:DF219" si="59">P19</f>
        <v>-761.6400000000001</v>
      </c>
      <c r="DF219" s="233">
        <f t="shared" si="59"/>
        <v>0</v>
      </c>
    </row>
    <row r="220" spans="105:110" ht="15.5" x14ac:dyDescent="0.35">
      <c r="DA220" s="232" t="str">
        <f t="shared" si="50"/>
        <v/>
      </c>
      <c r="DB220" s="232" t="str">
        <f t="shared" si="51"/>
        <v>MCKEEVER</v>
      </c>
      <c r="DC220" s="232" t="str">
        <f t="shared" si="51"/>
        <v>Alliance Party</v>
      </c>
      <c r="DD220" s="233">
        <f t="shared" si="51"/>
        <v>727</v>
      </c>
      <c r="DE220" s="233">
        <f t="shared" ref="DE220:DF220" si="60">P20</f>
        <v>122.72</v>
      </c>
      <c r="DF220" s="233">
        <f t="shared" si="60"/>
        <v>1048.76</v>
      </c>
    </row>
    <row r="221" spans="105:110" ht="15.5" x14ac:dyDescent="0.35">
      <c r="DA221" s="232" t="str">
        <f t="shared" si="50"/>
        <v>Excluded</v>
      </c>
      <c r="DB221" s="232" t="str">
        <f t="shared" si="51"/>
        <v>MILLER</v>
      </c>
      <c r="DC221" s="232" t="str">
        <f t="shared" si="51"/>
        <v>Independent</v>
      </c>
      <c r="DD221" s="233">
        <f t="shared" si="51"/>
        <v>49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>Excluded</v>
      </c>
      <c r="DB222" s="232" t="str">
        <f t="shared" si="51"/>
        <v>TRAYNOR</v>
      </c>
      <c r="DC222" s="232" t="str">
        <f t="shared" si="51"/>
        <v>D.U.P.</v>
      </c>
      <c r="DD222" s="233">
        <f t="shared" si="51"/>
        <v>527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127</v>
      </c>
      <c r="DD231" s="234"/>
      <c r="DE231" s="233">
        <f t="shared" ref="DE231:DF231" si="72">P31</f>
        <v>39.040000000000006</v>
      </c>
      <c r="DF231" s="233">
        <f t="shared" si="72"/>
        <v>88.400000000000034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3">Q32</f>
        <v>10185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  <mergeCell ref="P9:Q9"/>
    <mergeCell ref="R9:S9"/>
    <mergeCell ref="T9:U9"/>
    <mergeCell ref="F8:G8"/>
    <mergeCell ref="T8:U8"/>
    <mergeCell ref="K1:L1"/>
    <mergeCell ref="H3:I3"/>
    <mergeCell ref="O4:S4"/>
    <mergeCell ref="O3:S3"/>
    <mergeCell ref="H4:I4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Z3:AF3"/>
    <mergeCell ref="Z2:AF2"/>
    <mergeCell ref="AL3:AQ3"/>
    <mergeCell ref="AL13:AL17"/>
    <mergeCell ref="AQ9:AR10"/>
    <mergeCell ref="AM13:AM17"/>
    <mergeCell ref="Z4:AF4"/>
    <mergeCell ref="AK9:AP10"/>
    <mergeCell ref="CB2:CE2"/>
    <mergeCell ref="BI3:BK3"/>
    <mergeCell ref="BT3:BZ3"/>
    <mergeCell ref="BP5:BP7"/>
    <mergeCell ref="AQ6:AR7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</mergeCells>
  <phoneticPr fontId="0" type="noConversion"/>
  <conditionalFormatting sqref="V4:W4">
    <cfRule type="cellIs" dxfId="104" priority="1" stopIfTrue="1" operator="equal">
      <formula>"Totals Correct"</formula>
    </cfRule>
    <cfRule type="cellIs" dxfId="103" priority="2" stopIfTrue="1" operator="equal">
      <formula>"ERROR"</formula>
    </cfRule>
  </conditionalFormatting>
  <conditionalFormatting sqref="U4">
    <cfRule type="cellIs" dxfId="102" priority="3" stopIfTrue="1" operator="equal">
      <formula>"OK TO MOVE TO NEXT STAGE"</formula>
    </cfRule>
    <cfRule type="cellIs" dxfId="101" priority="4" stopIfTrue="1" operator="equal">
      <formula>"DO NOT MOVE TO NEXT STAGE"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paperSize="8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DF232"/>
  <sheetViews>
    <sheetView showGridLines="0" showZeros="0" tabSelected="1" topLeftCell="A2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26953125" customWidth="1"/>
    <col min="25" max="25" width="3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26953125" customWidth="1"/>
    <col min="43" max="43" width="11.1796875" customWidth="1"/>
    <col min="44" max="44" width="16.453125" customWidth="1"/>
    <col min="45" max="45" width="216" customWidth="1"/>
    <col min="50" max="50" width="220.54296875" customWidth="1"/>
    <col min="51" max="51" width="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6.7265625" customWidth="1"/>
    <col min="65" max="65" width="9" customWidth="1"/>
    <col min="67" max="67" width="8.81640625" customWidth="1"/>
    <col min="68" max="68" width="7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113</v>
      </c>
      <c r="J1" s="85" t="s">
        <v>37</v>
      </c>
      <c r="K1" s="311">
        <f>'Basic Input'!C2</f>
        <v>45064</v>
      </c>
      <c r="L1" s="311"/>
      <c r="Z1" s="10" t="s">
        <v>261</v>
      </c>
      <c r="AQ1" s="33"/>
      <c r="AZ1" s="10" t="s">
        <v>130</v>
      </c>
      <c r="BE1" s="34" t="str">
        <f>IF(AT5="T","COMPLETE THIS FORM","YOU HAVE NOT SELECTED TO COMPLETE THIS FORM")</f>
        <v>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262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522.63999999999987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113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339.11999999999989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263</v>
      </c>
      <c r="P4" s="338"/>
      <c r="Q4" s="338"/>
      <c r="R4" s="338"/>
      <c r="S4" s="339"/>
      <c r="U4" s="324" t="str">
        <f>IF(S33="ERROR","DO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187</v>
      </c>
      <c r="AT5" s="7" t="str">
        <f>IF(AQ5=0,0,IF(AQ5="Y","T","E"))</f>
        <v>T</v>
      </c>
      <c r="BE5" s="61" t="str">
        <f>'Verification of Boxes'!J10</f>
        <v>BASSETT</v>
      </c>
      <c r="BF5" s="64">
        <v>120</v>
      </c>
      <c r="BG5" s="100">
        <f t="shared" ref="BG5:BG24" si="0">IF(BC$23&gt;0,BF5*BC$23,BF5*BC$29)</f>
        <v>97.2</v>
      </c>
      <c r="BH5" s="150"/>
      <c r="BI5" s="5">
        <f>IF(A11&lt;&gt;0,A11,0)</f>
        <v>0</v>
      </c>
      <c r="BJ5" s="5">
        <f>IF(C11=0,0,IF(Q11=0,"Excluded",0))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371" t="s">
        <v>114</v>
      </c>
      <c r="U6" s="372"/>
      <c r="V6" s="371" t="s">
        <v>115</v>
      </c>
      <c r="W6" s="372"/>
      <c r="Z6" s="352" t="s">
        <v>264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113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IF(C12=0,0,IF(Q12=0,"Excluded",0))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IF($AT5=0,0,IF($AT5="T",$AZ7,$BR4))</f>
        <v>Transfer</v>
      </c>
      <c r="S7" s="365"/>
      <c r="T7" s="373"/>
      <c r="U7" s="374"/>
      <c r="V7" s="374"/>
      <c r="W7" s="375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61" t="str">
        <f>IF($R7="Transfer",$BA8,$BT3)</f>
        <v>GALLEN</v>
      </c>
      <c r="S8" s="365"/>
      <c r="T8" s="366"/>
      <c r="U8" s="367"/>
      <c r="V8" s="367"/>
      <c r="W8" s="370"/>
      <c r="AA8" s="3"/>
      <c r="AI8" s="10"/>
      <c r="AJ8" s="10"/>
      <c r="AZ8" s="8" t="s">
        <v>165</v>
      </c>
      <c r="BA8" s="151" t="str">
        <f>IF(BE49&lt;&gt;0,BE49,IF(BE50&lt;&gt;0,BE50,IF(BE51&lt;&gt;0,BE51,IF(BE52&lt;&gt;0,BE52,0))))</f>
        <v>GALLEN</v>
      </c>
      <c r="BE8" s="61" t="str">
        <f>'Verification of Boxes'!J13</f>
        <v>GALLEN</v>
      </c>
      <c r="BF8" s="64"/>
      <c r="BG8" s="100">
        <f t="shared" si="0"/>
        <v>0</v>
      </c>
      <c r="BH8" s="150" t="s">
        <v>187</v>
      </c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1095.5999999999999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368" t="s">
        <v>116</v>
      </c>
      <c r="U9" s="369"/>
      <c r="V9" s="139" t="s">
        <v>116</v>
      </c>
      <c r="W9" s="140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>
        <v>1613.12</v>
      </c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7'!A11&lt;&gt;0,'Stage 7'!A11,IF(S11&gt;=$M$3,"Elected",IF(BP8&lt;&gt;0,"Excluded",0)))</f>
        <v>0</v>
      </c>
      <c r="B11" s="235">
        <f>'Stage 7'!B11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 t="shared" ref="R11:R30" si="12">IF($C11&lt;&gt;0,$BK49,0)</f>
        <v>97.2</v>
      </c>
      <c r="S11" s="27">
        <f t="shared" ref="S11:S31" si="13">IF(R$8=0,0,Q11+R11)</f>
        <v>1192.8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>
        <v>22</v>
      </c>
      <c r="BG11" s="100">
        <f t="shared" si="0"/>
        <v>17.82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7'!A12&lt;&gt;0,'Stage 7'!A12,IF(S12&gt;=$M$3,"Elected",IF(BP9&lt;&gt;0,"Excluded",0)))</f>
        <v>Elected</v>
      </c>
      <c r="B12" s="235">
        <f>'Stage 7'!B12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 t="shared" si="12"/>
        <v>0</v>
      </c>
      <c r="S12" s="27">
        <f t="shared" si="13"/>
        <v>1314.76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171</v>
      </c>
      <c r="BA12" s="3" t="s">
        <v>172</v>
      </c>
      <c r="BB12" s="3"/>
      <c r="BC12" s="50">
        <f>AG3</f>
        <v>339.11999999999989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7'!A13&lt;&gt;0,'Stage 7'!A13,IF(S13&gt;=$M$3,"Elected",IF(BP10&lt;&gt;0,"Excluded",0)))</f>
        <v>Elected</v>
      </c>
      <c r="B13" s="235">
        <f>'Stage 7'!B13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 t="shared" si="12"/>
        <v>0</v>
      </c>
      <c r="S13" s="27">
        <f t="shared" si="13"/>
        <v>1416.76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>
        <v>466</v>
      </c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Elected</v>
      </c>
      <c r="B14" s="235">
        <f>'Stage 7'!B14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 t="shared" si="12"/>
        <v>-339.11999999999989</v>
      </c>
      <c r="S14" s="27">
        <f t="shared" si="13"/>
        <v>1274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BASSETT</v>
      </c>
      <c r="AA14" s="93">
        <f>Q11</f>
        <v>1095.5999999999999</v>
      </c>
      <c r="AB14" s="88"/>
      <c r="AC14" s="99">
        <f t="shared" ref="AC14:AC33" si="16">IF(AA14&gt;0,AA14-AG$4,0)</f>
        <v>-178.40000000000009</v>
      </c>
      <c r="AD14" s="123"/>
      <c r="AE14" s="88" t="str">
        <f>IF(Z14=0,0,IF(AA14&gt;=AG$4,"elected",IF(AA14=0,"excluded","continuing")))</f>
        <v>continuing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>
        <v>1</v>
      </c>
      <c r="BE14" s="61" t="str">
        <f>'Verification of Boxes'!J19</f>
        <v>MCKEEVER</v>
      </c>
      <c r="BF14" s="64">
        <v>273</v>
      </c>
      <c r="BG14" s="100">
        <f t="shared" si="0"/>
        <v>221.13000000000002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1059.5999999999999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Elected</v>
      </c>
      <c r="B15" s="235">
        <f>'Stage 7'!B15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 t="shared" si="12"/>
        <v>0</v>
      </c>
      <c r="S15" s="27">
        <f t="shared" si="13"/>
        <v>1274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CARLIN</v>
      </c>
      <c r="AA15" s="37">
        <f>Q12</f>
        <v>1314.76</v>
      </c>
      <c r="AB15" s="5"/>
      <c r="AC15" s="100">
        <f t="shared" si="16"/>
        <v>40.759999999999991</v>
      </c>
      <c r="AD15" s="110"/>
      <c r="AE15" s="5" t="str">
        <f t="shared" ref="AE15:AE33" si="19">IF(Z15=0,0,IF(AA15&gt;=AG$4,"elected",IF(AA15=0,"excluded","continuing")))</f>
        <v>elected</v>
      </c>
      <c r="AF15" s="5">
        <f t="shared" si="17"/>
        <v>40.759999999999991</v>
      </c>
      <c r="AG15" s="96" t="str">
        <f t="shared" si="18"/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7'!A16&lt;&gt;0,'Stage 7'!A16,IF(S16&gt;=$M$3,"Elected",IF(BP13&lt;&gt;0,"Excluded",0)))</f>
        <v>Excluded</v>
      </c>
      <c r="B16" s="235">
        <f>'Stage 7'!B16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 t="shared" si="12"/>
        <v>0</v>
      </c>
      <c r="S16" s="27">
        <f t="shared" si="13"/>
        <v>0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EATON</v>
      </c>
      <c r="AA16" s="37">
        <f t="shared" ref="AA16:AA33" si="20">Q13</f>
        <v>1416.76</v>
      </c>
      <c r="AB16" s="5"/>
      <c r="AC16" s="100">
        <f t="shared" si="16"/>
        <v>142.76</v>
      </c>
      <c r="AD16" s="110"/>
      <c r="AE16" s="5" t="str">
        <f t="shared" si="19"/>
        <v>elected</v>
      </c>
      <c r="AF16" s="5">
        <f t="shared" si="17"/>
        <v>142.76</v>
      </c>
      <c r="AG16" s="96" t="str">
        <f t="shared" si="18"/>
        <v>transfer largest surplus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>IF('Stage 7'!A17&lt;&gt;0,'Stage 7'!A17,IF(S17&gt;=$M$3,"Elected",IF(BP14&lt;&gt;0,"Excluded",0)))</f>
        <v>0</v>
      </c>
      <c r="B17" s="235">
        <f>'Stage 7'!B17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 t="shared" si="12"/>
        <v>17.82</v>
      </c>
      <c r="S17" s="27">
        <f t="shared" si="13"/>
        <v>1077.4199999999998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GALLEN</v>
      </c>
      <c r="AA17" s="37">
        <f t="shared" si="20"/>
        <v>1613.12</v>
      </c>
      <c r="AB17" s="5"/>
      <c r="AC17" s="100">
        <f t="shared" si="16"/>
        <v>339.11999999999989</v>
      </c>
      <c r="AD17" s="110"/>
      <c r="AE17" s="5" t="str">
        <f t="shared" si="19"/>
        <v>elected</v>
      </c>
      <c r="AF17" s="5">
        <f t="shared" si="17"/>
        <v>339.11999999999989</v>
      </c>
      <c r="AG17" s="96" t="str">
        <f t="shared" si="18"/>
        <v>transfer largest surplus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1048.76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7'!A18&lt;&gt;0,'Stage 7'!A18,IF(S18&gt;=$M$3,"Elected",IF(BP15&lt;&gt;0,"Excluded",0)))</f>
        <v>Elected</v>
      </c>
      <c r="B18" s="235">
        <f>'Stage 7'!B18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 t="shared" si="12"/>
        <v>0</v>
      </c>
      <c r="S18" s="27">
        <f t="shared" si="13"/>
        <v>1274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GUY</v>
      </c>
      <c r="AA18" s="37">
        <f t="shared" si="20"/>
        <v>1274</v>
      </c>
      <c r="AB18" s="5"/>
      <c r="AC18" s="100">
        <f t="shared" si="16"/>
        <v>0</v>
      </c>
      <c r="AD18" s="110"/>
      <c r="AE18" s="5" t="str">
        <f t="shared" si="19"/>
        <v>elected</v>
      </c>
      <c r="AF18" s="5">
        <f t="shared" si="17"/>
        <v>0</v>
      </c>
      <c r="AG18" s="96">
        <f t="shared" si="18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415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7'!A19&lt;&gt;0,'Stage 7'!A19,IF(S19&gt;=$M$3,"Elected",IF(BP16&lt;&gt;0,"Excluded",0)))</f>
        <v>Excluded</v>
      </c>
      <c r="B19" s="235">
        <f>'Stage 7'!B19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 t="shared" si="12"/>
        <v>0</v>
      </c>
      <c r="S19" s="27">
        <f t="shared" si="13"/>
        <v>0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HAMLEY</v>
      </c>
      <c r="AA19" s="37">
        <f t="shared" si="20"/>
        <v>0</v>
      </c>
      <c r="AB19" s="5"/>
      <c r="AC19" s="100">
        <f t="shared" si="16"/>
        <v>0</v>
      </c>
      <c r="AD19" s="110"/>
      <c r="AE19" s="5" t="str">
        <f t="shared" si="19"/>
        <v>excluded</v>
      </c>
      <c r="AF19" s="5">
        <f t="shared" si="17"/>
        <v>0</v>
      </c>
      <c r="AG19" s="96">
        <f t="shared" si="18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415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f>'Stage 7'!B20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 t="shared" si="12"/>
        <v>221.13000000000002</v>
      </c>
      <c r="S20" s="27">
        <f t="shared" si="13"/>
        <v>1269.8900000000001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HENDERSON</v>
      </c>
      <c r="AA20" s="37">
        <f t="shared" si="20"/>
        <v>1059.5999999999999</v>
      </c>
      <c r="AB20" s="5"/>
      <c r="AC20" s="100">
        <f t="shared" si="16"/>
        <v>-214.40000000000009</v>
      </c>
      <c r="AD20" s="110"/>
      <c r="AE20" s="5" t="str">
        <f t="shared" si="19"/>
        <v>continuing</v>
      </c>
      <c r="AF20" s="5">
        <f t="shared" si="17"/>
        <v>0</v>
      </c>
      <c r="AG20" s="96">
        <f t="shared" si="18"/>
        <v>0</v>
      </c>
      <c r="AJ20" s="344" t="s">
        <v>190</v>
      </c>
      <c r="AK20" s="345"/>
      <c r="AL20" s="142">
        <f>AL46</f>
        <v>1048.76</v>
      </c>
      <c r="AM20" s="118"/>
      <c r="AN20" s="142">
        <f>AL20+AG2</f>
        <v>1571.3999999999999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7'!A21&lt;&gt;0,'Stage 7'!A21,IF(S21&gt;=$M$3,"Elected",IF(BP18&lt;&gt;0,"Excluded",0)))</f>
        <v>Excluded</v>
      </c>
      <c r="B21" s="235">
        <f>'Stage 7'!B21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HIGGINSON</v>
      </c>
      <c r="AA21" s="37">
        <f t="shared" si="20"/>
        <v>1274</v>
      </c>
      <c r="AB21" s="5"/>
      <c r="AC21" s="100">
        <f t="shared" si="16"/>
        <v>0</v>
      </c>
      <c r="AD21" s="110"/>
      <c r="AE21" s="5" t="str">
        <f t="shared" si="19"/>
        <v>elected</v>
      </c>
      <c r="AF21" s="5">
        <f t="shared" si="17"/>
        <v>0</v>
      </c>
      <c r="AG21" s="96">
        <f t="shared" si="18"/>
        <v>0</v>
      </c>
      <c r="AJ21" s="327" t="s">
        <v>191</v>
      </c>
      <c r="AK21" s="275"/>
      <c r="AL21" s="37">
        <f>IF(AL20=1000000,0,AN46)</f>
        <v>1059.5999999999999</v>
      </c>
      <c r="AM21" s="5">
        <f>AL21-AL20</f>
        <v>10.839999999999918</v>
      </c>
      <c r="AN21" s="5">
        <f>IF(AL21=1000000,0,IF(AN20=0,0,AN20+AL21))</f>
        <v>2631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7'!A22&lt;&gt;0,'Stage 7'!A22,IF(S22&gt;=$M$3,"Elected",IF(BP19&lt;&gt;0,"Excluded",0)))</f>
        <v>Excluded</v>
      </c>
      <c r="B22" s="235">
        <f>'Stage 7'!B22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 t="str">
        <f>'Verification of Boxes'!J18</f>
        <v>LEE</v>
      </c>
      <c r="AA22" s="37">
        <f t="shared" si="20"/>
        <v>0</v>
      </c>
      <c r="AB22" s="5"/>
      <c r="AC22" s="100">
        <f t="shared" si="16"/>
        <v>0</v>
      </c>
      <c r="AD22" s="110"/>
      <c r="AE22" s="5" t="str">
        <f t="shared" si="19"/>
        <v>excluded</v>
      </c>
      <c r="AF22" s="5">
        <f t="shared" si="17"/>
        <v>0</v>
      </c>
      <c r="AG22" s="96">
        <f t="shared" si="18"/>
        <v>0</v>
      </c>
      <c r="AJ22" s="327" t="s">
        <v>191</v>
      </c>
      <c r="AK22" s="275"/>
      <c r="AL22" s="37">
        <f>IF(AL21=1000000,0,AP46)</f>
        <v>1095.5999999999999</v>
      </c>
      <c r="AM22" s="5">
        <f>IF(AL22=1000000,0,IF(AM21=0,0,AL22-AL21))</f>
        <v>36</v>
      </c>
      <c r="AN22" s="5">
        <f>IF(AL22=1000000,0,IF(AN21=0,0,AN21+AL22))</f>
        <v>3726.6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 t="str">
        <f>'Verification of Boxes'!J19</f>
        <v>MCKEEVER</v>
      </c>
      <c r="AA23" s="37">
        <f t="shared" si="20"/>
        <v>1048.76</v>
      </c>
      <c r="AB23" s="5"/>
      <c r="AC23" s="100">
        <f t="shared" si="16"/>
        <v>-225.24</v>
      </c>
      <c r="AD23" s="110"/>
      <c r="AE23" s="5" t="str">
        <f t="shared" si="19"/>
        <v>continuing</v>
      </c>
      <c r="AF23" s="5">
        <f t="shared" si="17"/>
        <v>0</v>
      </c>
      <c r="AG23" s="96">
        <f t="shared" si="18"/>
        <v>0</v>
      </c>
      <c r="AJ23" s="327" t="s">
        <v>191</v>
      </c>
      <c r="AK23" s="275"/>
      <c r="AL23" s="37">
        <f>IF(AL22=1000000,0,AR46)</f>
        <v>1274</v>
      </c>
      <c r="AM23" s="5">
        <f>IF(AL23=1000000,0,IF(AM22=0,0,AL23-AL22))</f>
        <v>178.40000000000009</v>
      </c>
      <c r="AN23" s="5">
        <f>IF(AL23=1000000,0,IF(AN22=0,0,AN22+AL23))</f>
        <v>5000.6000000000004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8"/>
      <c r="BA23" s="3" t="s">
        <v>194</v>
      </c>
      <c r="BB23" s="3"/>
      <c r="BC23" s="171">
        <f>IF(BC19&gt;BC12,TRUNC((BC12/BC18),2),0)</f>
        <v>0.81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 t="str">
        <f>'Verification of Boxes'!J20</f>
        <v>MILLER</v>
      </c>
      <c r="AA24" s="37">
        <f t="shared" si="20"/>
        <v>0</v>
      </c>
      <c r="AB24" s="5"/>
      <c r="AC24" s="100">
        <f t="shared" si="16"/>
        <v>0</v>
      </c>
      <c r="AD24" s="110"/>
      <c r="AE24" s="5" t="str">
        <f t="shared" si="19"/>
        <v>excluded</v>
      </c>
      <c r="AF24" s="5">
        <f t="shared" si="17"/>
        <v>0</v>
      </c>
      <c r="AG24" s="96">
        <f t="shared" si="18"/>
        <v>0</v>
      </c>
      <c r="AJ24" s="327" t="s">
        <v>191</v>
      </c>
      <c r="AK24" s="275"/>
      <c r="AL24" s="37">
        <f>IF(AR46=1000000,0,AU46)</f>
        <v>1314.76</v>
      </c>
      <c r="AM24" s="5">
        <f>IF(AL24=1000000,0,IF(AM23=0,0,AL24-AL23))</f>
        <v>40.759999999999991</v>
      </c>
      <c r="AN24" s="5">
        <f>IF(AL24=1000000,0,IF(AN23=0,0,AN23+AL24))</f>
        <v>6315.3600000000006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195</v>
      </c>
      <c r="BA24" s="3" t="s">
        <v>196</v>
      </c>
      <c r="BB24" s="3"/>
      <c r="BC24" s="50">
        <f>IF(BC19&gt;BC12,BC18*BC23,0)</f>
        <v>336.15000000000003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 t="str">
        <f>'Verification of Boxes'!J21</f>
        <v>TRAYNOR</v>
      </c>
      <c r="AA25" s="37">
        <f t="shared" si="20"/>
        <v>0</v>
      </c>
      <c r="AB25" s="5"/>
      <c r="AC25" s="100">
        <f t="shared" si="16"/>
        <v>0</v>
      </c>
      <c r="AD25" s="110"/>
      <c r="AE25" s="5" t="str">
        <f t="shared" si="19"/>
        <v>excluded</v>
      </c>
      <c r="AF25" s="5">
        <f t="shared" si="17"/>
        <v>0</v>
      </c>
      <c r="AG25" s="96">
        <f t="shared" si="18"/>
        <v>0</v>
      </c>
      <c r="AJ25" s="325" t="s">
        <v>191</v>
      </c>
      <c r="AK25" s="326"/>
      <c r="AL25" s="89">
        <f>IF(AL24=1000000,0,AW46)</f>
        <v>1416.76</v>
      </c>
      <c r="AM25" s="90">
        <f>IF(AL25=1000000,0,IF(AM24=0,0,AL25-AL24))</f>
        <v>102</v>
      </c>
      <c r="AN25" s="90">
        <f>IF(AL25=1000000,0,IF(AN24=0,0,AN24+AL25))</f>
        <v>7732.1200000000008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2.9699999999998568</v>
      </c>
      <c r="BE25" s="61" t="s">
        <v>199</v>
      </c>
      <c r="BF25" s="5">
        <f>SUM(BF5:BF24)</f>
        <v>415</v>
      </c>
      <c r="BG25" s="100">
        <f>SUM(BG5:BG24)</f>
        <v>336.15000000000003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>
        <v>51</v>
      </c>
      <c r="BG26" s="100">
        <f>IF(AT5="T",BC25+BC31,0)</f>
        <v>2.9699999999998568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466</v>
      </c>
      <c r="BG27" s="101">
        <f>SUM(BG25:BG26)</f>
        <v>339.11999999999989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1"/>
        <v>0</v>
      </c>
      <c r="AV28" s="5">
        <f>AV27+AU28</f>
        <v>0</v>
      </c>
      <c r="AW28" s="5">
        <f t="shared" si="22"/>
        <v>0</v>
      </c>
      <c r="BA28" s="3"/>
      <c r="BB28" s="3"/>
      <c r="BC28" s="2"/>
      <c r="BO28" s="3"/>
      <c r="BP28" s="28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466</v>
      </c>
      <c r="BO29" s="3"/>
      <c r="BP29" s="28"/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265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$BK69</f>
        <v>2.9699999999998568</v>
      </c>
      <c r="S31" s="40">
        <f t="shared" si="13"/>
        <v>91.369999999999891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265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49">
        <f>SUM(S11:S31)</f>
        <v>10185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3">
        <v>0.9375</v>
      </c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522.63999999999987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MCKEEVER</v>
      </c>
      <c r="AA44" s="250">
        <v>1048.76</v>
      </c>
      <c r="AB44" s="250">
        <v>1048.76</v>
      </c>
      <c r="AC44" s="250">
        <f>AC43+AA44</f>
        <v>1571.3999999999999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HENDERSON</v>
      </c>
      <c r="AA45" s="250">
        <v>1059.5999999999999</v>
      </c>
      <c r="AB45" s="250">
        <v>1059.5999999999999</v>
      </c>
      <c r="AC45" s="250">
        <f>AC44+AA45</f>
        <v>2631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BASSETT</v>
      </c>
      <c r="AA46" s="250">
        <v>1095.5999999999999</v>
      </c>
      <c r="AB46" s="250">
        <v>1095.5999999999999</v>
      </c>
      <c r="AC46" s="250">
        <f t="shared" ref="AC46:AC63" si="26">AC45+AA46</f>
        <v>3726.6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1048.76</v>
      </c>
      <c r="AN46" s="2">
        <f>AN47+AL46</f>
        <v>1059.5999999999999</v>
      </c>
      <c r="AP46" s="2">
        <f>AP47+AN46</f>
        <v>1095.5999999999999</v>
      </c>
      <c r="AR46" s="2">
        <f>AR47+AP46</f>
        <v>1274</v>
      </c>
      <c r="AS46" s="2"/>
      <c r="AU46" s="2">
        <f>AU47+AR46</f>
        <v>1314.76</v>
      </c>
      <c r="AW46" s="2">
        <f>AW47+AU46</f>
        <v>1416.76</v>
      </c>
      <c r="AX46" s="2"/>
      <c r="BG46" t="s">
        <v>218</v>
      </c>
    </row>
    <row r="47" spans="4:75" x14ac:dyDescent="0.25">
      <c r="Z47" s="253" t="str">
        <v>GUY</v>
      </c>
      <c r="AA47" s="250">
        <v>1274</v>
      </c>
      <c r="AB47" s="250">
        <v>1274</v>
      </c>
      <c r="AC47" s="250">
        <f t="shared" si="26"/>
        <v>5000.6000000000004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1048.76</v>
      </c>
      <c r="AN47" s="2">
        <f>MIN(AN48:AN67)</f>
        <v>10.839999999999918</v>
      </c>
      <c r="AP47" s="2">
        <f>MIN(AP48:AP67)</f>
        <v>36</v>
      </c>
      <c r="AR47" s="2">
        <f>MIN(AR48:AR67)</f>
        <v>178.40000000000009</v>
      </c>
      <c r="AS47" s="2"/>
      <c r="AU47" s="2">
        <f>MIN(AU48:AU67)</f>
        <v>40.759999999999991</v>
      </c>
      <c r="AW47" s="2">
        <f>MIN(AW48:AW67)</f>
        <v>102</v>
      </c>
      <c r="AX47" s="2"/>
    </row>
    <row r="48" spans="4:75" ht="37.5" x14ac:dyDescent="0.25">
      <c r="Z48" s="253" t="str">
        <v>HIGGINSON</v>
      </c>
      <c r="AA48" s="250">
        <v>1274</v>
      </c>
      <c r="AB48" s="250">
        <v>1274</v>
      </c>
      <c r="AC48" s="250">
        <f t="shared" si="26"/>
        <v>6274.6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BASSETT</v>
      </c>
      <c r="AK48" s="2">
        <f t="shared" si="27"/>
        <v>1095.5999999999999</v>
      </c>
      <c r="AL48">
        <f>IF(AK48&lt;&gt;0,AK48,1000000)</f>
        <v>1095.5999999999999</v>
      </c>
      <c r="AM48" s="2">
        <f t="shared" ref="AM48:AM67" si="28">AL48-AL$47</f>
        <v>46.839999999999918</v>
      </c>
      <c r="AN48">
        <f>IF(AM48&lt;&gt;0,AM48,1000000)</f>
        <v>46.839999999999918</v>
      </c>
      <c r="AO48" s="2">
        <f t="shared" ref="AO48:AO67" si="29">AN48-AN$47</f>
        <v>36</v>
      </c>
      <c r="AP48">
        <f t="shared" ref="AP48:AP67" si="30">IF(AO48&lt;&gt;0,AO48,1000000)</f>
        <v>36</v>
      </c>
      <c r="AQ48" s="2">
        <f t="shared" ref="AQ48:AQ67" si="31">AP48-AP$47</f>
        <v>0</v>
      </c>
      <c r="AR48">
        <f t="shared" ref="AR48:AR67" si="32">IF(AQ48&lt;&gt;0,AQ48,1000000)</f>
        <v>1000000</v>
      </c>
      <c r="AT48" s="2">
        <f t="shared" ref="AT48:AT67" si="33">AR48-AR$47</f>
        <v>999821.6</v>
      </c>
      <c r="AU48">
        <f t="shared" ref="AU48:AU67" si="34">IF(AT48&lt;&gt;0,AT48,1000000)</f>
        <v>999821.6</v>
      </c>
      <c r="AV48" s="2">
        <f t="shared" ref="AV48:AV67" si="35">AU48-AU$47</f>
        <v>999780.84</v>
      </c>
      <c r="AW48">
        <f t="shared" ref="AW48:AW67" si="36">IF(AV48&lt;&gt;0,AV48,1000000)</f>
        <v>999780.84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CARLIN</v>
      </c>
      <c r="AA49" s="250">
        <v>1314.76</v>
      </c>
      <c r="AB49" s="250">
        <v>1314.76</v>
      </c>
      <c r="AC49" s="250">
        <f t="shared" si="26"/>
        <v>7589.3600000000006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CARLIN</v>
      </c>
      <c r="AK49" s="2">
        <f t="shared" si="27"/>
        <v>1314.76</v>
      </c>
      <c r="AL49">
        <f t="shared" ref="AL49:AL67" si="37">IF(AK49&lt;&gt;0,AK49,1000000)</f>
        <v>1314.76</v>
      </c>
      <c r="AM49" s="2">
        <f t="shared" si="28"/>
        <v>266</v>
      </c>
      <c r="AN49">
        <f t="shared" ref="AN49:AN67" si="38">IF(AM49&lt;&gt;0,AM49,1000000)</f>
        <v>266</v>
      </c>
      <c r="AO49" s="2">
        <f t="shared" si="29"/>
        <v>255.16000000000008</v>
      </c>
      <c r="AP49">
        <f t="shared" si="30"/>
        <v>255.16000000000008</v>
      </c>
      <c r="AQ49" s="2">
        <f t="shared" si="31"/>
        <v>219.16000000000008</v>
      </c>
      <c r="AR49">
        <f t="shared" si="32"/>
        <v>219.16000000000008</v>
      </c>
      <c r="AT49" s="2">
        <f t="shared" si="33"/>
        <v>40.759999999999991</v>
      </c>
      <c r="AU49">
        <f t="shared" si="34"/>
        <v>40.759999999999991</v>
      </c>
      <c r="AV49" s="2">
        <f t="shared" si="35"/>
        <v>0</v>
      </c>
      <c r="AW49">
        <f t="shared" si="36"/>
        <v>1000000</v>
      </c>
      <c r="BE49" s="5" t="str">
        <f>IF($BH5="y",$BE5,IF($BH6="y",$BE6,IF($BH7="y",$BE7,IF($BH8="y",$BE8,IF($BH9="y",$BE9,IF($BH10="y",$BE10,0))))))</f>
        <v>GALLEN</v>
      </c>
      <c r="BG49" s="125" t="str">
        <f t="shared" ref="BG49:BG68" si="39">BE5</f>
        <v>BASSETT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97.2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EATON</v>
      </c>
      <c r="AA50" s="250">
        <v>1416.76</v>
      </c>
      <c r="AB50" s="250">
        <v>1416.76</v>
      </c>
      <c r="AC50" s="250">
        <f t="shared" si="26"/>
        <v>9006.1200000000008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EATON</v>
      </c>
      <c r="AK50" s="2">
        <f t="shared" si="27"/>
        <v>1416.76</v>
      </c>
      <c r="AL50">
        <f t="shared" si="37"/>
        <v>1416.76</v>
      </c>
      <c r="AM50" s="2">
        <f t="shared" si="28"/>
        <v>368</v>
      </c>
      <c r="AN50">
        <f t="shared" si="38"/>
        <v>368</v>
      </c>
      <c r="AO50" s="2">
        <f t="shared" si="29"/>
        <v>357.16000000000008</v>
      </c>
      <c r="AP50">
        <f t="shared" si="30"/>
        <v>357.16000000000008</v>
      </c>
      <c r="AQ50" s="2">
        <f t="shared" si="31"/>
        <v>321.16000000000008</v>
      </c>
      <c r="AR50">
        <f t="shared" si="32"/>
        <v>321.16000000000008</v>
      </c>
      <c r="AT50" s="2">
        <f t="shared" si="33"/>
        <v>142.76</v>
      </c>
      <c r="AU50">
        <f t="shared" si="34"/>
        <v>142.76</v>
      </c>
      <c r="AV50" s="2">
        <f t="shared" si="35"/>
        <v>102</v>
      </c>
      <c r="AW50">
        <f t="shared" si="36"/>
        <v>102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CARLIN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GALLEN</v>
      </c>
      <c r="AA51" s="250">
        <v>1613.12</v>
      </c>
      <c r="AB51" s="250">
        <v>1613.12</v>
      </c>
      <c r="AC51" s="250">
        <f t="shared" si="26"/>
        <v>10619.240000000002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GALLEN</v>
      </c>
      <c r="AK51" s="2">
        <f t="shared" si="27"/>
        <v>1613.12</v>
      </c>
      <c r="AL51">
        <f t="shared" si="37"/>
        <v>1613.12</v>
      </c>
      <c r="AM51" s="2">
        <f t="shared" si="28"/>
        <v>564.3599999999999</v>
      </c>
      <c r="AN51">
        <f t="shared" si="38"/>
        <v>564.3599999999999</v>
      </c>
      <c r="AO51" s="2">
        <f t="shared" si="29"/>
        <v>553.52</v>
      </c>
      <c r="AP51">
        <f t="shared" si="30"/>
        <v>553.52</v>
      </c>
      <c r="AQ51" s="2">
        <f t="shared" si="31"/>
        <v>517.52</v>
      </c>
      <c r="AR51">
        <f t="shared" si="32"/>
        <v>517.52</v>
      </c>
      <c r="AT51" s="2">
        <f t="shared" si="33"/>
        <v>339.11999999999989</v>
      </c>
      <c r="AU51">
        <f t="shared" si="34"/>
        <v>339.11999999999989</v>
      </c>
      <c r="AV51" s="2">
        <f t="shared" si="35"/>
        <v>298.3599999999999</v>
      </c>
      <c r="AW51">
        <f t="shared" si="36"/>
        <v>298.3599999999999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EATON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 t="str">
        <v>HAMLEY</v>
      </c>
      <c r="AA52" s="250">
        <v>0</v>
      </c>
      <c r="AB52" s="250">
        <v>1000000</v>
      </c>
      <c r="AC52" s="250">
        <f t="shared" si="26"/>
        <v>10619.240000000002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GUY</v>
      </c>
      <c r="AK52" s="2">
        <f t="shared" si="27"/>
        <v>1274</v>
      </c>
      <c r="AL52">
        <f t="shared" si="37"/>
        <v>1274</v>
      </c>
      <c r="AM52" s="2">
        <f t="shared" si="28"/>
        <v>225.24</v>
      </c>
      <c r="AN52">
        <f t="shared" si="38"/>
        <v>225.24</v>
      </c>
      <c r="AO52" s="2">
        <f t="shared" si="29"/>
        <v>214.40000000000009</v>
      </c>
      <c r="AP52">
        <f t="shared" si="30"/>
        <v>214.40000000000009</v>
      </c>
      <c r="AQ52" s="2">
        <f t="shared" si="31"/>
        <v>178.40000000000009</v>
      </c>
      <c r="AR52">
        <f t="shared" si="32"/>
        <v>178.40000000000009</v>
      </c>
      <c r="AT52" s="2">
        <f t="shared" si="33"/>
        <v>0</v>
      </c>
      <c r="AU52">
        <f t="shared" si="34"/>
        <v>1000000</v>
      </c>
      <c r="AV52" s="2">
        <f t="shared" si="35"/>
        <v>999959.24</v>
      </c>
      <c r="AW52">
        <f t="shared" si="36"/>
        <v>999959.24</v>
      </c>
      <c r="BE52" s="5">
        <f>IF($BH23="y",$BE23,IF($BH24="y",$BE24,0))</f>
        <v>0</v>
      </c>
      <c r="BG52" s="127" t="str">
        <f t="shared" si="39"/>
        <v>GALLEN</v>
      </c>
      <c r="BH52" s="128"/>
      <c r="BI52" s="5">
        <f t="shared" si="40"/>
        <v>-339.11999999999989</v>
      </c>
      <c r="BJ52" s="5">
        <f t="shared" si="41"/>
        <v>0</v>
      </c>
      <c r="BK52" s="5">
        <f t="shared" si="42"/>
        <v>-339.11999999999989</v>
      </c>
      <c r="BN52" s="5">
        <f t="shared" si="43"/>
        <v>0</v>
      </c>
      <c r="BW52" s="5">
        <f t="shared" si="44"/>
        <v>0</v>
      </c>
    </row>
    <row r="53" spans="26:75" x14ac:dyDescent="0.25">
      <c r="Z53" s="253" t="str">
        <v>LEE</v>
      </c>
      <c r="AA53" s="250">
        <v>0</v>
      </c>
      <c r="AB53" s="250">
        <v>1000000</v>
      </c>
      <c r="AC53" s="250">
        <f t="shared" si="26"/>
        <v>10619.240000000002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HAMLEY</v>
      </c>
      <c r="AK53" s="2">
        <f t="shared" si="27"/>
        <v>0</v>
      </c>
      <c r="AL53">
        <f t="shared" si="37"/>
        <v>1000000</v>
      </c>
      <c r="AM53" s="2">
        <f t="shared" si="28"/>
        <v>998951.24</v>
      </c>
      <c r="AN53">
        <f t="shared" si="38"/>
        <v>998951.24</v>
      </c>
      <c r="AO53" s="2">
        <f t="shared" si="29"/>
        <v>998940.4</v>
      </c>
      <c r="AP53">
        <f t="shared" si="30"/>
        <v>998940.4</v>
      </c>
      <c r="AQ53" s="2">
        <f t="shared" si="31"/>
        <v>998904.4</v>
      </c>
      <c r="AR53">
        <f t="shared" si="32"/>
        <v>998904.4</v>
      </c>
      <c r="AT53" s="2">
        <f t="shared" si="33"/>
        <v>998726</v>
      </c>
      <c r="AU53">
        <f t="shared" si="34"/>
        <v>998726</v>
      </c>
      <c r="AV53" s="2">
        <f t="shared" si="35"/>
        <v>998685.24</v>
      </c>
      <c r="AW53">
        <f t="shared" si="36"/>
        <v>998685.24</v>
      </c>
      <c r="BG53" s="127" t="str">
        <f t="shared" si="39"/>
        <v>GUY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6"/>
        <v>10619.240000000002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HENDERSON</v>
      </c>
      <c r="AK54" s="2">
        <f t="shared" si="27"/>
        <v>1059.5999999999999</v>
      </c>
      <c r="AL54">
        <f t="shared" si="37"/>
        <v>1059.5999999999999</v>
      </c>
      <c r="AM54" s="2">
        <f t="shared" si="28"/>
        <v>10.839999999999918</v>
      </c>
      <c r="AN54">
        <f t="shared" si="38"/>
        <v>10.839999999999918</v>
      </c>
      <c r="AO54" s="2">
        <f t="shared" si="29"/>
        <v>0</v>
      </c>
      <c r="AP54">
        <f t="shared" si="30"/>
        <v>1000000</v>
      </c>
      <c r="AQ54" s="2">
        <f t="shared" si="31"/>
        <v>999964</v>
      </c>
      <c r="AR54">
        <f t="shared" si="32"/>
        <v>999964</v>
      </c>
      <c r="AT54" s="2">
        <f t="shared" si="33"/>
        <v>999785.6</v>
      </c>
      <c r="AU54">
        <f t="shared" si="34"/>
        <v>999785.6</v>
      </c>
      <c r="AV54" s="2">
        <f t="shared" si="35"/>
        <v>999744.84</v>
      </c>
      <c r="AW54">
        <f t="shared" si="36"/>
        <v>999744.84</v>
      </c>
      <c r="BG54" s="127" t="str">
        <f t="shared" si="39"/>
        <v>HAMLEY</v>
      </c>
      <c r="BH54" s="128"/>
      <c r="BI54" s="5">
        <f t="shared" si="40"/>
        <v>0</v>
      </c>
      <c r="BJ54" s="5">
        <f t="shared" si="41"/>
        <v>0</v>
      </c>
      <c r="BK54" s="5">
        <f t="shared" si="42"/>
        <v>0</v>
      </c>
      <c r="BN54" s="5">
        <f t="shared" si="43"/>
        <v>0</v>
      </c>
      <c r="BW54" s="5">
        <f t="shared" si="44"/>
        <v>0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6"/>
        <v>10619.240000000002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HIGGINSON</v>
      </c>
      <c r="AK55" s="2">
        <f t="shared" si="27"/>
        <v>1274</v>
      </c>
      <c r="AL55">
        <f t="shared" si="37"/>
        <v>1274</v>
      </c>
      <c r="AM55" s="2">
        <f t="shared" si="28"/>
        <v>225.24</v>
      </c>
      <c r="AN55">
        <f t="shared" si="38"/>
        <v>225.24</v>
      </c>
      <c r="AO55" s="2">
        <f t="shared" si="29"/>
        <v>214.40000000000009</v>
      </c>
      <c r="AP55">
        <f t="shared" si="30"/>
        <v>214.40000000000009</v>
      </c>
      <c r="AQ55" s="2">
        <f t="shared" si="31"/>
        <v>178.40000000000009</v>
      </c>
      <c r="AR55">
        <f t="shared" si="32"/>
        <v>178.40000000000009</v>
      </c>
      <c r="AT55" s="2">
        <f t="shared" si="33"/>
        <v>0</v>
      </c>
      <c r="AU55">
        <f t="shared" si="34"/>
        <v>1000000</v>
      </c>
      <c r="AV55" s="2">
        <f t="shared" si="35"/>
        <v>999959.24</v>
      </c>
      <c r="AW55">
        <f t="shared" si="36"/>
        <v>999959.24</v>
      </c>
      <c r="BG55" s="127" t="str">
        <f t="shared" si="39"/>
        <v>HENDERSON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17.82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10619.240000000002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7"/>
        <v>LEE</v>
      </c>
      <c r="AK56" s="2">
        <f t="shared" si="27"/>
        <v>0</v>
      </c>
      <c r="AL56">
        <f t="shared" si="37"/>
        <v>1000000</v>
      </c>
      <c r="AM56" s="2">
        <f t="shared" si="28"/>
        <v>998951.24</v>
      </c>
      <c r="AN56">
        <f t="shared" si="38"/>
        <v>998951.24</v>
      </c>
      <c r="AO56" s="2">
        <f t="shared" si="29"/>
        <v>998940.4</v>
      </c>
      <c r="AP56">
        <f t="shared" si="30"/>
        <v>998940.4</v>
      </c>
      <c r="AQ56" s="2">
        <f t="shared" si="31"/>
        <v>998904.4</v>
      </c>
      <c r="AR56">
        <f t="shared" si="32"/>
        <v>998904.4</v>
      </c>
      <c r="AT56" s="2">
        <f t="shared" si="33"/>
        <v>998726</v>
      </c>
      <c r="AU56">
        <f t="shared" si="34"/>
        <v>998726</v>
      </c>
      <c r="AV56" s="2">
        <f t="shared" si="35"/>
        <v>998685.24</v>
      </c>
      <c r="AW56">
        <f t="shared" si="36"/>
        <v>998685.24</v>
      </c>
      <c r="BG56" s="127" t="str">
        <f t="shared" si="39"/>
        <v>HIGGINSON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0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10619.240000000002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7"/>
        <v>MCKEEVER</v>
      </c>
      <c r="AK57" s="2">
        <f t="shared" si="27"/>
        <v>1048.76</v>
      </c>
      <c r="AL57">
        <f t="shared" si="37"/>
        <v>1048.76</v>
      </c>
      <c r="AM57" s="2">
        <f t="shared" si="28"/>
        <v>0</v>
      </c>
      <c r="AN57">
        <f t="shared" si="38"/>
        <v>1000000</v>
      </c>
      <c r="AO57" s="2">
        <f t="shared" si="29"/>
        <v>999989.16</v>
      </c>
      <c r="AP57">
        <f t="shared" si="30"/>
        <v>999989.16</v>
      </c>
      <c r="AQ57" s="2">
        <f t="shared" si="31"/>
        <v>999953.16</v>
      </c>
      <c r="AR57">
        <f t="shared" si="32"/>
        <v>999953.16</v>
      </c>
      <c r="AT57" s="2">
        <f t="shared" si="33"/>
        <v>999774.76</v>
      </c>
      <c r="AU57">
        <f t="shared" si="34"/>
        <v>999774.76</v>
      </c>
      <c r="AV57" s="2">
        <f t="shared" si="35"/>
        <v>999734</v>
      </c>
      <c r="AW57">
        <f t="shared" si="36"/>
        <v>999734</v>
      </c>
      <c r="BG57" s="127" t="str">
        <f t="shared" si="39"/>
        <v>LEE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0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10619.240000000002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7"/>
        <v>MILLER</v>
      </c>
      <c r="AK58" s="2">
        <f t="shared" si="27"/>
        <v>0</v>
      </c>
      <c r="AL58">
        <f t="shared" si="37"/>
        <v>1000000</v>
      </c>
      <c r="AM58" s="2">
        <f t="shared" si="28"/>
        <v>998951.24</v>
      </c>
      <c r="AN58">
        <f t="shared" si="38"/>
        <v>998951.24</v>
      </c>
      <c r="AO58" s="2">
        <f t="shared" si="29"/>
        <v>998940.4</v>
      </c>
      <c r="AP58">
        <f t="shared" si="30"/>
        <v>998940.4</v>
      </c>
      <c r="AQ58" s="2">
        <f t="shared" si="31"/>
        <v>998904.4</v>
      </c>
      <c r="AR58">
        <f t="shared" si="32"/>
        <v>998904.4</v>
      </c>
      <c r="AT58" s="2">
        <f t="shared" si="33"/>
        <v>998726</v>
      </c>
      <c r="AU58">
        <f t="shared" si="34"/>
        <v>998726</v>
      </c>
      <c r="AV58" s="2">
        <f t="shared" si="35"/>
        <v>998685.24</v>
      </c>
      <c r="AW58">
        <f t="shared" si="36"/>
        <v>998685.24</v>
      </c>
      <c r="BG58" s="127" t="str">
        <f t="shared" si="39"/>
        <v>MCKEEVER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221.13000000000002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10619.240000000002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7"/>
        <v>TRAYNOR</v>
      </c>
      <c r="AK59" s="2">
        <f t="shared" si="27"/>
        <v>0</v>
      </c>
      <c r="AL59">
        <f t="shared" si="37"/>
        <v>1000000</v>
      </c>
      <c r="AM59" s="2">
        <f t="shared" si="28"/>
        <v>998951.24</v>
      </c>
      <c r="AN59">
        <f t="shared" si="38"/>
        <v>998951.24</v>
      </c>
      <c r="AO59" s="2">
        <f t="shared" si="29"/>
        <v>998940.4</v>
      </c>
      <c r="AP59">
        <f t="shared" si="30"/>
        <v>998940.4</v>
      </c>
      <c r="AQ59" s="2">
        <f t="shared" si="31"/>
        <v>998904.4</v>
      </c>
      <c r="AR59">
        <f t="shared" si="32"/>
        <v>998904.4</v>
      </c>
      <c r="AT59" s="2">
        <f t="shared" si="33"/>
        <v>998726</v>
      </c>
      <c r="AU59">
        <f t="shared" si="34"/>
        <v>998726</v>
      </c>
      <c r="AV59" s="2">
        <f t="shared" si="35"/>
        <v>998685.24</v>
      </c>
      <c r="AW59">
        <f t="shared" si="36"/>
        <v>998685.24</v>
      </c>
      <c r="BG59" s="127" t="str">
        <f t="shared" si="39"/>
        <v>MILLER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10619.240000000002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998951.24</v>
      </c>
      <c r="AN60">
        <f t="shared" si="38"/>
        <v>998951.24</v>
      </c>
      <c r="AO60" s="2">
        <f t="shared" si="29"/>
        <v>998940.4</v>
      </c>
      <c r="AP60">
        <f t="shared" si="30"/>
        <v>998940.4</v>
      </c>
      <c r="AQ60" s="2">
        <f t="shared" si="31"/>
        <v>998904.4</v>
      </c>
      <c r="AR60">
        <f t="shared" si="32"/>
        <v>998904.4</v>
      </c>
      <c r="AT60" s="2">
        <f t="shared" si="33"/>
        <v>998726</v>
      </c>
      <c r="AU60">
        <f t="shared" si="34"/>
        <v>998726</v>
      </c>
      <c r="AV60" s="2">
        <f t="shared" si="35"/>
        <v>998685.24</v>
      </c>
      <c r="AW60">
        <f t="shared" si="36"/>
        <v>998685.24</v>
      </c>
      <c r="BG60" s="127" t="str">
        <f t="shared" si="39"/>
        <v>TRAYNOR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10619.240000000002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998951.24</v>
      </c>
      <c r="AN61">
        <f t="shared" si="38"/>
        <v>998951.24</v>
      </c>
      <c r="AO61" s="2">
        <f t="shared" si="29"/>
        <v>998940.4</v>
      </c>
      <c r="AP61">
        <f t="shared" si="30"/>
        <v>998940.4</v>
      </c>
      <c r="AQ61" s="2">
        <f t="shared" si="31"/>
        <v>998904.4</v>
      </c>
      <c r="AR61">
        <f t="shared" si="32"/>
        <v>998904.4</v>
      </c>
      <c r="AT61" s="2">
        <f t="shared" si="33"/>
        <v>998726</v>
      </c>
      <c r="AU61">
        <f t="shared" si="34"/>
        <v>998726</v>
      </c>
      <c r="AV61" s="2">
        <f t="shared" si="35"/>
        <v>998685.24</v>
      </c>
      <c r="AW61">
        <f t="shared" si="36"/>
        <v>998685.24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10619.240000000002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998951.24</v>
      </c>
      <c r="AN62">
        <f t="shared" si="38"/>
        <v>998951.24</v>
      </c>
      <c r="AO62" s="2">
        <f t="shared" si="29"/>
        <v>998940.4</v>
      </c>
      <c r="AP62">
        <f t="shared" si="30"/>
        <v>998940.4</v>
      </c>
      <c r="AQ62" s="2">
        <f t="shared" si="31"/>
        <v>998904.4</v>
      </c>
      <c r="AR62">
        <f t="shared" si="32"/>
        <v>998904.4</v>
      </c>
      <c r="AT62" s="2">
        <f t="shared" si="33"/>
        <v>998726</v>
      </c>
      <c r="AU62">
        <f t="shared" si="34"/>
        <v>998726</v>
      </c>
      <c r="AV62" s="2">
        <f t="shared" si="35"/>
        <v>998685.24</v>
      </c>
      <c r="AW62">
        <f t="shared" si="36"/>
        <v>998685.24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10619.240000000002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998951.24</v>
      </c>
      <c r="AN63">
        <f t="shared" si="38"/>
        <v>998951.24</v>
      </c>
      <c r="AO63" s="2">
        <f t="shared" si="29"/>
        <v>998940.4</v>
      </c>
      <c r="AP63">
        <f t="shared" si="30"/>
        <v>998940.4</v>
      </c>
      <c r="AQ63" s="2">
        <f t="shared" si="31"/>
        <v>998904.4</v>
      </c>
      <c r="AR63">
        <f t="shared" si="32"/>
        <v>998904.4</v>
      </c>
      <c r="AT63" s="2">
        <f t="shared" si="33"/>
        <v>998726</v>
      </c>
      <c r="AU63">
        <f t="shared" si="34"/>
        <v>998726</v>
      </c>
      <c r="AV63" s="2">
        <f t="shared" si="35"/>
        <v>998685.24</v>
      </c>
      <c r="AW63">
        <f t="shared" si="36"/>
        <v>998685.24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998951.24</v>
      </c>
      <c r="AN64">
        <f t="shared" si="38"/>
        <v>998951.24</v>
      </c>
      <c r="AO64" s="2">
        <f t="shared" si="29"/>
        <v>998940.4</v>
      </c>
      <c r="AP64">
        <f t="shared" si="30"/>
        <v>998940.4</v>
      </c>
      <c r="AQ64" s="2">
        <f t="shared" si="31"/>
        <v>998904.4</v>
      </c>
      <c r="AR64">
        <f t="shared" si="32"/>
        <v>998904.4</v>
      </c>
      <c r="AT64" s="2">
        <f t="shared" si="33"/>
        <v>998726</v>
      </c>
      <c r="AU64">
        <f t="shared" si="34"/>
        <v>998726</v>
      </c>
      <c r="AV64" s="2">
        <f t="shared" si="35"/>
        <v>998685.24</v>
      </c>
      <c r="AW64">
        <f t="shared" si="36"/>
        <v>998685.24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998951.24</v>
      </c>
      <c r="AN65">
        <f t="shared" si="38"/>
        <v>998951.24</v>
      </c>
      <c r="AO65" s="2">
        <f t="shared" si="29"/>
        <v>998940.4</v>
      </c>
      <c r="AP65">
        <f t="shared" si="30"/>
        <v>998940.4</v>
      </c>
      <c r="AQ65" s="2">
        <f t="shared" si="31"/>
        <v>998904.4</v>
      </c>
      <c r="AR65">
        <f t="shared" si="32"/>
        <v>998904.4</v>
      </c>
      <c r="AT65" s="2">
        <f t="shared" si="33"/>
        <v>998726</v>
      </c>
      <c r="AU65">
        <f t="shared" si="34"/>
        <v>998726</v>
      </c>
      <c r="AV65" s="2">
        <f t="shared" si="35"/>
        <v>998685.24</v>
      </c>
      <c r="AW65">
        <f t="shared" si="36"/>
        <v>998685.24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998951.24</v>
      </c>
      <c r="AN66">
        <f t="shared" si="38"/>
        <v>998951.24</v>
      </c>
      <c r="AO66" s="2">
        <f t="shared" si="29"/>
        <v>998940.4</v>
      </c>
      <c r="AP66">
        <f t="shared" si="30"/>
        <v>998940.4</v>
      </c>
      <c r="AQ66" s="2">
        <f t="shared" si="31"/>
        <v>998904.4</v>
      </c>
      <c r="AR66">
        <f t="shared" si="32"/>
        <v>998904.4</v>
      </c>
      <c r="AT66" s="2">
        <f t="shared" si="33"/>
        <v>998726</v>
      </c>
      <c r="AU66">
        <f t="shared" si="34"/>
        <v>998726</v>
      </c>
      <c r="AV66" s="2">
        <f t="shared" si="35"/>
        <v>998685.24</v>
      </c>
      <c r="AW66">
        <f t="shared" si="36"/>
        <v>998685.24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998951.24</v>
      </c>
      <c r="AN67">
        <f t="shared" si="38"/>
        <v>998951.24</v>
      </c>
      <c r="AO67" s="2">
        <f t="shared" si="29"/>
        <v>998940.4</v>
      </c>
      <c r="AP67">
        <f t="shared" si="30"/>
        <v>998940.4</v>
      </c>
      <c r="AQ67" s="2">
        <f t="shared" si="31"/>
        <v>998904.4</v>
      </c>
      <c r="AR67">
        <f t="shared" si="32"/>
        <v>998904.4</v>
      </c>
      <c r="AT67" s="2">
        <f t="shared" si="33"/>
        <v>998726</v>
      </c>
      <c r="AU67">
        <f t="shared" si="34"/>
        <v>998726</v>
      </c>
      <c r="AV67" s="2">
        <f t="shared" si="35"/>
        <v>998685.24</v>
      </c>
      <c r="AW67">
        <f t="shared" si="36"/>
        <v>998685.24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225</v>
      </c>
      <c r="BI69" s="5">
        <f>BG26</f>
        <v>2.9699999999998568</v>
      </c>
      <c r="BJ69" s="5">
        <f>CE28</f>
        <v>0</v>
      </c>
      <c r="BK69" s="5">
        <f>BI69+BJ69</f>
        <v>2.9699999999998568</v>
      </c>
      <c r="BW69" s="5">
        <f>SUM(BW49:BW68)</f>
        <v>0</v>
      </c>
    </row>
    <row r="70" spans="36:75" x14ac:dyDescent="0.25">
      <c r="BK70" s="5">
        <f>BG27+CE29</f>
        <v>339.11999999999989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266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R11</f>
        <v>97.2</v>
      </c>
      <c r="DF211" s="233">
        <f>S11</f>
        <v>1192.8</v>
      </c>
    </row>
    <row r="212" spans="105:110" ht="15.5" x14ac:dyDescent="0.35">
      <c r="DA212" s="232" t="str">
        <f t="shared" ref="DA212:DA230" si="49">IF(A12="Elected","E",IF(A12="Excluded","Excluded",""))&amp;IF(B12&gt;0,B12,"")</f>
        <v>E</v>
      </c>
      <c r="DB212" s="232" t="str">
        <f t="shared" ref="DB212:DD227" si="50">C12</f>
        <v>CARLIN</v>
      </c>
      <c r="DC212" s="232" t="str">
        <f t="shared" si="50"/>
        <v>Sinn Féin</v>
      </c>
      <c r="DD212" s="233">
        <f t="shared" si="50"/>
        <v>1204</v>
      </c>
      <c r="DE212" s="233">
        <f t="shared" ref="DE212:DF212" si="51">R12</f>
        <v>0</v>
      </c>
      <c r="DF212" s="233">
        <f t="shared" si="51"/>
        <v>1314.76</v>
      </c>
    </row>
    <row r="213" spans="105:110" ht="15.5" x14ac:dyDescent="0.35">
      <c r="DA213" s="232" t="str">
        <f t="shared" si="49"/>
        <v>E</v>
      </c>
      <c r="DB213" s="232" t="str">
        <f t="shared" si="50"/>
        <v>EATON</v>
      </c>
      <c r="DC213" s="232" t="str">
        <f t="shared" si="50"/>
        <v>Alliance Party</v>
      </c>
      <c r="DD213" s="233">
        <f t="shared" si="50"/>
        <v>1116</v>
      </c>
      <c r="DE213" s="233">
        <f t="shared" ref="DE213:DF213" si="52">R13</f>
        <v>0</v>
      </c>
      <c r="DF213" s="233">
        <f t="shared" si="52"/>
        <v>1416.76</v>
      </c>
    </row>
    <row r="214" spans="105:110" ht="15.5" x14ac:dyDescent="0.35">
      <c r="DA214" s="232" t="str">
        <f t="shared" si="49"/>
        <v>E</v>
      </c>
      <c r="DB214" s="232" t="str">
        <f t="shared" si="50"/>
        <v>GALLEN</v>
      </c>
      <c r="DC214" s="232" t="str">
        <f t="shared" si="50"/>
        <v>SDLP</v>
      </c>
      <c r="DD214" s="233">
        <f t="shared" si="50"/>
        <v>1035</v>
      </c>
      <c r="DE214" s="233">
        <f t="shared" ref="DE214:DF214" si="53">R14</f>
        <v>-339.11999999999989</v>
      </c>
      <c r="DF214" s="233">
        <f t="shared" si="53"/>
        <v>1274</v>
      </c>
    </row>
    <row r="215" spans="105:110" ht="15.5" x14ac:dyDescent="0.35">
      <c r="DA215" s="232" t="str">
        <f t="shared" si="49"/>
        <v>E</v>
      </c>
      <c r="DB215" s="232" t="str">
        <f t="shared" si="50"/>
        <v>GUY</v>
      </c>
      <c r="DC215" s="232" t="str">
        <f t="shared" si="50"/>
        <v>Alliance Party</v>
      </c>
      <c r="DD215" s="233">
        <f t="shared" si="50"/>
        <v>1452</v>
      </c>
      <c r="DE215" s="233">
        <f t="shared" ref="DE215:DF215" si="54">R15</f>
        <v>0</v>
      </c>
      <c r="DF215" s="233">
        <f t="shared" si="54"/>
        <v>1274</v>
      </c>
    </row>
    <row r="216" spans="105:110" ht="15.5" x14ac:dyDescent="0.35">
      <c r="DA216" s="232" t="str">
        <f t="shared" si="49"/>
        <v>Excluded</v>
      </c>
      <c r="DB216" s="232" t="str">
        <f t="shared" si="50"/>
        <v>HAMLEY</v>
      </c>
      <c r="DC216" s="232" t="str">
        <f t="shared" si="50"/>
        <v>Green Party NI</v>
      </c>
      <c r="DD216" s="233">
        <f t="shared" si="50"/>
        <v>656</v>
      </c>
      <c r="DE216" s="233">
        <f t="shared" ref="DE216:DF216" si="55">R16</f>
        <v>0</v>
      </c>
      <c r="DF216" s="233">
        <f t="shared" si="55"/>
        <v>0</v>
      </c>
    </row>
    <row r="217" spans="105:110" ht="15.5" x14ac:dyDescent="0.35">
      <c r="DA217" s="232" t="str">
        <f t="shared" si="49"/>
        <v/>
      </c>
      <c r="DB217" s="232" t="str">
        <f t="shared" si="50"/>
        <v>HENDERSON</v>
      </c>
      <c r="DC217" s="232" t="str">
        <f t="shared" si="50"/>
        <v>UUP</v>
      </c>
      <c r="DD217" s="233">
        <f t="shared" si="50"/>
        <v>760</v>
      </c>
      <c r="DE217" s="233">
        <f t="shared" ref="DE217:DF217" si="56">R17</f>
        <v>17.82</v>
      </c>
      <c r="DF217" s="233">
        <f t="shared" si="56"/>
        <v>1077.4199999999998</v>
      </c>
    </row>
    <row r="218" spans="105:110" ht="15.5" x14ac:dyDescent="0.35">
      <c r="DA218" s="232" t="str">
        <f t="shared" si="49"/>
        <v>E</v>
      </c>
      <c r="DB218" s="232" t="str">
        <f t="shared" si="50"/>
        <v>HIGGINSON</v>
      </c>
      <c r="DC218" s="232" t="str">
        <f t="shared" si="50"/>
        <v>D.U.P.</v>
      </c>
      <c r="DD218" s="233">
        <f t="shared" si="50"/>
        <v>1006</v>
      </c>
      <c r="DE218" s="233">
        <f t="shared" ref="DE218:DF218" si="57">R18</f>
        <v>0</v>
      </c>
      <c r="DF218" s="233">
        <f t="shared" si="57"/>
        <v>1274</v>
      </c>
    </row>
    <row r="219" spans="105:110" ht="15.5" x14ac:dyDescent="0.35">
      <c r="DA219" s="232" t="str">
        <f t="shared" si="49"/>
        <v>Excluded</v>
      </c>
      <c r="DB219" s="232" t="str">
        <f t="shared" si="50"/>
        <v>LEE</v>
      </c>
      <c r="DC219" s="232" t="str">
        <f t="shared" si="50"/>
        <v xml:space="preserve">SDLP </v>
      </c>
      <c r="DD219" s="233">
        <f t="shared" si="50"/>
        <v>656</v>
      </c>
      <c r="DE219" s="233">
        <f t="shared" ref="DE219:DF219" si="58">R19</f>
        <v>0</v>
      </c>
      <c r="DF219" s="233">
        <f t="shared" si="58"/>
        <v>0</v>
      </c>
    </row>
    <row r="220" spans="105:110" ht="15.5" x14ac:dyDescent="0.35">
      <c r="DA220" s="232" t="str">
        <f t="shared" si="49"/>
        <v/>
      </c>
      <c r="DB220" s="232" t="str">
        <f t="shared" si="50"/>
        <v>MCKEEVER</v>
      </c>
      <c r="DC220" s="232" t="str">
        <f t="shared" si="50"/>
        <v>Alliance Party</v>
      </c>
      <c r="DD220" s="233">
        <f t="shared" si="50"/>
        <v>727</v>
      </c>
      <c r="DE220" s="233">
        <f t="shared" ref="DE220:DF220" si="59">R20</f>
        <v>221.13000000000002</v>
      </c>
      <c r="DF220" s="233">
        <f t="shared" si="59"/>
        <v>1269.8900000000001</v>
      </c>
    </row>
    <row r="221" spans="105:110" ht="15.5" x14ac:dyDescent="0.35">
      <c r="DA221" s="232" t="str">
        <f t="shared" si="49"/>
        <v>Excluded</v>
      </c>
      <c r="DB221" s="232" t="str">
        <f t="shared" si="50"/>
        <v>MILLER</v>
      </c>
      <c r="DC221" s="232" t="str">
        <f t="shared" si="50"/>
        <v>Independent</v>
      </c>
      <c r="DD221" s="233">
        <f t="shared" si="50"/>
        <v>49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>Excluded</v>
      </c>
      <c r="DB222" s="232" t="str">
        <f t="shared" si="50"/>
        <v>TRAYNOR</v>
      </c>
      <c r="DC222" s="232" t="str">
        <f t="shared" si="50"/>
        <v>D.U.P.</v>
      </c>
      <c r="DD222" s="233">
        <f t="shared" si="50"/>
        <v>527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127</v>
      </c>
      <c r="DD231" s="234"/>
      <c r="DE231" s="233">
        <f t="shared" ref="DE231:DF231" si="71">R31</f>
        <v>2.9699999999998568</v>
      </c>
      <c r="DF231" s="233">
        <f t="shared" si="71"/>
        <v>91.369999999999891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2">S32</f>
        <v>10185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  <mergeCell ref="CB2:CE2"/>
    <mergeCell ref="BI3:BK3"/>
    <mergeCell ref="BI2:BK2"/>
    <mergeCell ref="BT3:BZ3"/>
    <mergeCell ref="AQ13:AQ17"/>
    <mergeCell ref="BP5:BP7"/>
    <mergeCell ref="AQ6:AR7"/>
    <mergeCell ref="AQ9:AR10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K1:L1"/>
    <mergeCell ref="H3:I3"/>
    <mergeCell ref="O4:S4"/>
    <mergeCell ref="O3:S3"/>
    <mergeCell ref="H4:I4"/>
    <mergeCell ref="L9:M9"/>
    <mergeCell ref="T8:U8"/>
    <mergeCell ref="N9:O9"/>
    <mergeCell ref="P9:Q9"/>
    <mergeCell ref="R9:S9"/>
    <mergeCell ref="T9:U9"/>
    <mergeCell ref="P8:Q8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</mergeCells>
  <phoneticPr fontId="0" type="noConversion"/>
  <conditionalFormatting sqref="V4:W4">
    <cfRule type="cellIs" dxfId="95" priority="1" stopIfTrue="1" operator="equal">
      <formula>"Totals Correct"</formula>
    </cfRule>
    <cfRule type="cellIs" dxfId="94" priority="2" stopIfTrue="1" operator="equal">
      <formula>"ERROR"</formula>
    </cfRule>
  </conditionalFormatting>
  <conditionalFormatting sqref="U4">
    <cfRule type="cellIs" dxfId="93" priority="3" stopIfTrue="1" operator="equal">
      <formula>"OK TO MOVE TO NEXT STAGE"</formula>
    </cfRule>
    <cfRule type="cellIs" dxfId="92" priority="4" stopIfTrue="1" operator="equal">
      <formula>"DO NOT MOVE TO NEXT STAGE"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paperSize="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topLeftCell="X1" zoomScale="75" workbookViewId="0">
      <selection activeCell="AA23" sqref="AA2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81640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1796875" customWidth="1"/>
    <col min="44" max="44" width="16.453125" customWidth="1"/>
    <col min="45" max="45" width="226" customWidth="1"/>
    <col min="50" max="50" width="217" customWidth="1"/>
    <col min="51" max="51" width="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1796875" customWidth="1"/>
    <col min="67" max="67" width="9.4531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114</v>
      </c>
      <c r="J1" s="85" t="s">
        <v>37</v>
      </c>
      <c r="K1" s="311">
        <f>'Basic Input'!C2</f>
        <v>45064</v>
      </c>
      <c r="L1" s="311"/>
      <c r="Z1" s="10" t="s">
        <v>267</v>
      </c>
      <c r="AQ1" s="33"/>
      <c r="AZ1" s="10" t="s">
        <v>130</v>
      </c>
      <c r="BE1" s="34" t="str">
        <f>IF(AT5="T","COMPLETE THIS FORM","YOU HAVE NOT SELECTED TO COMPLETE THIS FORM")</f>
        <v>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268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183.51999999999998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114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142.76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269</v>
      </c>
      <c r="P4" s="338"/>
      <c r="Q4" s="338"/>
      <c r="R4" s="338"/>
      <c r="S4" s="339"/>
      <c r="U4" s="324" t="str">
        <f>IF(U33="ERROR","DO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187</v>
      </c>
      <c r="AT5" s="7" t="str">
        <f>IF(AQ5=0,0,IF(AQ5="Y","T","E"))</f>
        <v>T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IF(C11=0,0,IF(S11=0,"Excluded",0))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270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114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 t="s">
        <v>187</v>
      </c>
      <c r="BI6" s="5" t="str">
        <f t="shared" ref="BI6:BI24" si="1">IF(A12&lt;&gt;0,A12,0)</f>
        <v>Elected</v>
      </c>
      <c r="BJ6" s="5">
        <f t="shared" ref="BJ6:BJ24" si="2">IF(C12=0,0,IF(S12=0,"Excluded",0))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IF($AT5=0,0,IF($AT5="T",$AZ7,$BR4))</f>
        <v>Transfer</v>
      </c>
      <c r="U7" s="362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IF($T7="Transfer",$BA8,$BT3)</f>
        <v>CARLIN</v>
      </c>
      <c r="U8" s="360"/>
      <c r="V8" s="301"/>
      <c r="W8" s="302"/>
      <c r="AA8" s="3"/>
      <c r="AI8" s="10"/>
      <c r="AJ8" s="10"/>
      <c r="AZ8" s="8" t="s">
        <v>165</v>
      </c>
      <c r="BA8" s="151" t="str">
        <f>IF(BE49&lt;&gt;0,BE49,IF(BE50&lt;&gt;0,BE50,IF(BE51&lt;&gt;0,BE51,IF(BE52&lt;&gt;0,BE52,0))))</f>
        <v>CARLIN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1192.8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 t="str">
        <f t="shared" si="3"/>
        <v>Elected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>
        <v>1314</v>
      </c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8'!A11&lt;&gt;0,'Stage 8'!A11,IF(U11&gt;=$M$3,"Elected",IF(BP8&lt;&gt;0,"Excluded",0)))</f>
        <v>0</v>
      </c>
      <c r="B11" s="235">
        <f>'Stage 8'!B11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 t="shared" ref="T11:T30" si="12">IF($C11&lt;&gt;0,$BK49,0)</f>
        <v>0</v>
      </c>
      <c r="U11" s="27">
        <f t="shared" ref="U11:U31" si="13">IF(T$8=0,0,S11+T11)</f>
        <v>1192.8</v>
      </c>
      <c r="V11" s="69"/>
      <c r="W11" s="39">
        <f t="shared" ref="W11:W31" si="14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8'!A12&lt;&gt;0,'Stage 8'!A12,IF(U12&gt;=$M$3,"Elected",IF(BP9&lt;&gt;0,"Excluded",0)))</f>
        <v>Elected</v>
      </c>
      <c r="B12" s="235">
        <f>'Stage 8'!B12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 t="shared" si="12"/>
        <v>-142.76</v>
      </c>
      <c r="U12" s="27">
        <f t="shared" si="13"/>
        <v>1172</v>
      </c>
      <c r="V12" s="69"/>
      <c r="W12" s="39">
        <f t="shared" si="14"/>
        <v>0</v>
      </c>
      <c r="AJ12" s="38"/>
      <c r="AZ12" t="s">
        <v>171</v>
      </c>
      <c r="BA12" s="3" t="s">
        <v>172</v>
      </c>
      <c r="BB12" s="3"/>
      <c r="BC12" s="50">
        <f>AG3</f>
        <v>142.76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8'!A13&lt;&gt;0,'Stage 8'!A13,IF(U13&gt;=$M$3,"Elected",IF(BP10&lt;&gt;0,"Excluded",0)))</f>
        <v>Elected</v>
      </c>
      <c r="B13" s="235">
        <f>'Stage 8'!B13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 t="shared" si="12"/>
        <v>0</v>
      </c>
      <c r="U13" s="27">
        <f t="shared" si="13"/>
        <v>1416.76</v>
      </c>
      <c r="V13" s="69"/>
      <c r="W13" s="39">
        <f t="shared" si="14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Elected</v>
      </c>
      <c r="B14" s="235">
        <f>'Stage 8'!B14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 t="shared" si="12"/>
        <v>0</v>
      </c>
      <c r="U14" s="27">
        <f t="shared" si="13"/>
        <v>1274</v>
      </c>
      <c r="V14" s="69"/>
      <c r="W14" s="39">
        <f t="shared" si="14"/>
        <v>0</v>
      </c>
      <c r="Z14" s="92" t="str">
        <f>'Verification of Boxes'!J10</f>
        <v>BASSETT</v>
      </c>
      <c r="AA14" s="93">
        <f>S11</f>
        <v>1192.8</v>
      </c>
      <c r="AB14" s="88"/>
      <c r="AC14" s="99">
        <f t="shared" ref="AC14:AC33" si="15">IF(AA14&gt;0,AA14-AG$4,0)</f>
        <v>-81.200000000000045</v>
      </c>
      <c r="AD14" s="123"/>
      <c r="AE14" s="88" t="str">
        <f>IF(Z14=0,0,IF(AA14&gt;=AG$4,"elected",IF(AA14=0,"excluded","continuing")))</f>
        <v>continuing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1077.4199999999998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Elected</v>
      </c>
      <c r="B15" s="235">
        <f>'Stage 8'!B15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 t="shared" si="12"/>
        <v>0</v>
      </c>
      <c r="U15" s="27">
        <f t="shared" si="13"/>
        <v>1274</v>
      </c>
      <c r="V15" s="69"/>
      <c r="W15" s="39">
        <f t="shared" si="14"/>
        <v>0</v>
      </c>
      <c r="Z15" s="95" t="str">
        <f>'Verification of Boxes'!J11</f>
        <v>CARLIN</v>
      </c>
      <c r="AA15" s="37">
        <f>S12</f>
        <v>1314.76</v>
      </c>
      <c r="AB15" s="5"/>
      <c r="AC15" s="100">
        <f t="shared" si="15"/>
        <v>40.759999999999991</v>
      </c>
      <c r="AD15" s="110"/>
      <c r="AE15" s="5" t="str">
        <f t="shared" ref="AE15:AE33" si="18">IF(Z15=0,0,IF(AA15&gt;=AG$4,"elected",IF(AA15=0,"excluded","continuing")))</f>
        <v>elected</v>
      </c>
      <c r="AF15" s="5">
        <f t="shared" si="16"/>
        <v>40.759999999999991</v>
      </c>
      <c r="AG15" s="96" t="str">
        <f t="shared" si="17"/>
        <v>transfer largest surplus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8'!A16&lt;&gt;0,'Stage 8'!A16,IF(U16&gt;=$M$3,"Elected",IF(BP13&lt;&gt;0,"Excluded",0)))</f>
        <v>Excluded</v>
      </c>
      <c r="B16" s="235">
        <f>'Stage 8'!B16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 t="shared" si="12"/>
        <v>0</v>
      </c>
      <c r="U16" s="27">
        <f t="shared" si="13"/>
        <v>0</v>
      </c>
      <c r="V16" s="69"/>
      <c r="W16" s="39">
        <f t="shared" si="14"/>
        <v>0</v>
      </c>
      <c r="Z16" s="95" t="str">
        <f>'Verification of Boxes'!J12</f>
        <v>EATON</v>
      </c>
      <c r="AA16" s="37">
        <f t="shared" ref="AA16:AA33" si="19">S13</f>
        <v>1416.76</v>
      </c>
      <c r="AB16" s="5"/>
      <c r="AC16" s="100">
        <f t="shared" si="15"/>
        <v>142.76</v>
      </c>
      <c r="AD16" s="110"/>
      <c r="AE16" s="5" t="str">
        <f t="shared" si="18"/>
        <v>elected</v>
      </c>
      <c r="AF16" s="5">
        <f t="shared" si="16"/>
        <v>142.76</v>
      </c>
      <c r="AG16" s="96" t="str">
        <f t="shared" si="17"/>
        <v>transfer largest surplus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>IF('Stage 8'!A17&lt;&gt;0,'Stage 8'!A17,IF(U17&gt;=$M$3,"Elected",IF(BP14&lt;&gt;0,"Excluded",0)))</f>
        <v>0</v>
      </c>
      <c r="B17" s="235">
        <f>'Stage 8'!B17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 t="shared" si="12"/>
        <v>0</v>
      </c>
      <c r="U17" s="27">
        <f t="shared" si="13"/>
        <v>1077.4199999999998</v>
      </c>
      <c r="V17" s="69"/>
      <c r="W17" s="39">
        <f t="shared" si="14"/>
        <v>0</v>
      </c>
      <c r="Z17" s="95" t="str">
        <f>'Verification of Boxes'!J13</f>
        <v>GALLEN</v>
      </c>
      <c r="AA17" s="37">
        <f t="shared" si="19"/>
        <v>1274</v>
      </c>
      <c r="AB17" s="5"/>
      <c r="AC17" s="100">
        <f t="shared" si="15"/>
        <v>0</v>
      </c>
      <c r="AD17" s="110"/>
      <c r="AE17" s="5" t="str">
        <f t="shared" si="18"/>
        <v>elected</v>
      </c>
      <c r="AF17" s="5">
        <f t="shared" si="16"/>
        <v>0</v>
      </c>
      <c r="AG17" s="96">
        <f t="shared" si="1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1269.8900000000001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8'!A18&lt;&gt;0,'Stage 8'!A18,IF(U18&gt;=$M$3,"Elected",IF(BP15&lt;&gt;0,"Excluded",0)))</f>
        <v>Elected</v>
      </c>
      <c r="B18" s="235">
        <f>'Stage 8'!B18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 t="shared" si="12"/>
        <v>0</v>
      </c>
      <c r="U18" s="27">
        <f t="shared" si="13"/>
        <v>1274</v>
      </c>
      <c r="V18" s="69"/>
      <c r="W18" s="39">
        <f t="shared" si="14"/>
        <v>0</v>
      </c>
      <c r="Z18" s="95" t="str">
        <f>'Verification of Boxes'!J14</f>
        <v>GUY</v>
      </c>
      <c r="AA18" s="37">
        <f t="shared" si="19"/>
        <v>1274</v>
      </c>
      <c r="AB18" s="5"/>
      <c r="AC18" s="100">
        <f t="shared" si="15"/>
        <v>0</v>
      </c>
      <c r="AD18" s="110"/>
      <c r="AE18" s="5" t="str">
        <f t="shared" si="18"/>
        <v>elected</v>
      </c>
      <c r="AF18" s="5">
        <f t="shared" si="16"/>
        <v>0</v>
      </c>
      <c r="AG18" s="96">
        <f t="shared" si="17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8'!A19&lt;&gt;0,'Stage 8'!A19,IF(U19&gt;=$M$3,"Elected",IF(BP16&lt;&gt;0,"Excluded",0)))</f>
        <v>Excluded</v>
      </c>
      <c r="B19" s="235">
        <f>'Stage 8'!B19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 t="shared" si="12"/>
        <v>0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HAMLEY</v>
      </c>
      <c r="AA19" s="37">
        <f t="shared" si="19"/>
        <v>0</v>
      </c>
      <c r="AB19" s="5"/>
      <c r="AC19" s="100">
        <f t="shared" si="15"/>
        <v>0</v>
      </c>
      <c r="AD19" s="110"/>
      <c r="AE19" s="5" t="str">
        <f t="shared" si="18"/>
        <v>excluded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 t="shared" si="12"/>
        <v>0</v>
      </c>
      <c r="U20" s="27">
        <f t="shared" si="13"/>
        <v>1269.8900000000001</v>
      </c>
      <c r="V20" s="69"/>
      <c r="W20" s="39">
        <f t="shared" si="14"/>
        <v>0</v>
      </c>
      <c r="Z20" s="95" t="str">
        <f>'Verification of Boxes'!J16</f>
        <v>HENDERSON</v>
      </c>
      <c r="AA20" s="37">
        <f t="shared" si="19"/>
        <v>1077.4199999999998</v>
      </c>
      <c r="AB20" s="5"/>
      <c r="AC20" s="100">
        <f t="shared" si="15"/>
        <v>-196.58000000000015</v>
      </c>
      <c r="AD20" s="110"/>
      <c r="AE20" s="5" t="str">
        <f t="shared" si="18"/>
        <v>continuing</v>
      </c>
      <c r="AF20" s="5">
        <f t="shared" si="16"/>
        <v>0</v>
      </c>
      <c r="AG20" s="96">
        <f t="shared" si="17"/>
        <v>0</v>
      </c>
      <c r="AJ20" s="344" t="s">
        <v>190</v>
      </c>
      <c r="AK20" s="345"/>
      <c r="AL20" s="142">
        <f>AL46</f>
        <v>1077.4199999999998</v>
      </c>
      <c r="AM20" s="118"/>
      <c r="AN20" s="142">
        <f>AL20+AG2</f>
        <v>1260.9399999999998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8'!A21&lt;&gt;0,'Stage 8'!A21,IF(U21&gt;=$M$3,"Elected",IF(BP18&lt;&gt;0,"Excluded",0)))</f>
        <v>Excluded</v>
      </c>
      <c r="B21" s="235">
        <f>'Stage 8'!B21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HIGGINSON</v>
      </c>
      <c r="AA21" s="37">
        <f t="shared" si="19"/>
        <v>1274</v>
      </c>
      <c r="AB21" s="5"/>
      <c r="AC21" s="100">
        <f t="shared" si="15"/>
        <v>0</v>
      </c>
      <c r="AD21" s="110"/>
      <c r="AE21" s="5" t="str">
        <f t="shared" si="18"/>
        <v>elected</v>
      </c>
      <c r="AF21" s="5">
        <f t="shared" si="16"/>
        <v>0</v>
      </c>
      <c r="AG21" s="96">
        <f t="shared" si="17"/>
        <v>0</v>
      </c>
      <c r="AJ21" s="327" t="s">
        <v>191</v>
      </c>
      <c r="AK21" s="275"/>
      <c r="AL21" s="37">
        <f>IF(AL20=1000000,0,AN46)</f>
        <v>1192.8</v>
      </c>
      <c r="AM21" s="5">
        <f>AL21-AL20</f>
        <v>115.38000000000011</v>
      </c>
      <c r="AN21" s="5">
        <f>IF(AL21=1000000,0,IF(AN20=0,0,AN20+AL21))</f>
        <v>2453.7399999999998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8'!A22&lt;&gt;0,'Stage 8'!A22,IF(U22&gt;=$M$3,"Elected",IF(BP19&lt;&gt;0,"Excluded",0)))</f>
        <v>Excluded</v>
      </c>
      <c r="B22" s="235">
        <f>'Stage 8'!B22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 t="str">
        <f>'Verification of Boxes'!J18</f>
        <v>LEE</v>
      </c>
      <c r="AA22" s="37">
        <f t="shared" si="19"/>
        <v>0</v>
      </c>
      <c r="AB22" s="5"/>
      <c r="AC22" s="100">
        <f t="shared" si="15"/>
        <v>0</v>
      </c>
      <c r="AD22" s="110"/>
      <c r="AE22" s="5" t="str">
        <f t="shared" si="18"/>
        <v>excluded</v>
      </c>
      <c r="AF22" s="5">
        <f t="shared" si="16"/>
        <v>0</v>
      </c>
      <c r="AG22" s="96">
        <f t="shared" si="17"/>
        <v>0</v>
      </c>
      <c r="AJ22" s="327" t="s">
        <v>191</v>
      </c>
      <c r="AK22" s="275"/>
      <c r="AL22" s="37">
        <f>IF(AL21=1000000,0,AP46)</f>
        <v>1269.8900000000001</v>
      </c>
      <c r="AM22" s="5">
        <f>IF(AL22=1000000,0,IF(AM21=0,0,AL22-AL21))</f>
        <v>77.090000000000146</v>
      </c>
      <c r="AN22" s="5">
        <f>IF(AL22=1000000,0,IF(AN21=0,0,AN21+AL22))</f>
        <v>3723.63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 t="str">
        <f>'Verification of Boxes'!J19</f>
        <v>MCKEEVER</v>
      </c>
      <c r="AA23" s="37">
        <f t="shared" si="19"/>
        <v>1269.8900000000001</v>
      </c>
      <c r="AB23" s="5"/>
      <c r="AC23" s="100">
        <f t="shared" si="15"/>
        <v>-4.1099999999999</v>
      </c>
      <c r="AD23" s="110"/>
      <c r="AE23" s="5" t="str">
        <f t="shared" si="18"/>
        <v>continuing</v>
      </c>
      <c r="AF23" s="5">
        <f t="shared" si="16"/>
        <v>0</v>
      </c>
      <c r="AG23" s="96">
        <f t="shared" si="17"/>
        <v>0</v>
      </c>
      <c r="AJ23" s="327" t="s">
        <v>191</v>
      </c>
      <c r="AK23" s="275"/>
      <c r="AL23" s="37">
        <f>IF(AL22=1000000,0,AR46)</f>
        <v>1274</v>
      </c>
      <c r="AM23" s="5">
        <f>IF(AL23=1000000,0,IF(AM22=0,0,AL23-AL22))</f>
        <v>4.1099999999999</v>
      </c>
      <c r="AN23" s="5">
        <f>IF(AL23=1000000,0,IF(AN22=0,0,AN22+AL23))</f>
        <v>4997.63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 t="str">
        <f>'Verification of Boxes'!J20</f>
        <v>MILLER</v>
      </c>
      <c r="AA24" s="37">
        <f t="shared" si="19"/>
        <v>0</v>
      </c>
      <c r="AB24" s="5"/>
      <c r="AC24" s="100">
        <f t="shared" si="15"/>
        <v>0</v>
      </c>
      <c r="AD24" s="110"/>
      <c r="AE24" s="5" t="str">
        <f t="shared" si="18"/>
        <v>excluded</v>
      </c>
      <c r="AF24" s="5">
        <f t="shared" si="16"/>
        <v>0</v>
      </c>
      <c r="AG24" s="96">
        <f t="shared" si="17"/>
        <v>0</v>
      </c>
      <c r="AJ24" s="327" t="s">
        <v>191</v>
      </c>
      <c r="AK24" s="275"/>
      <c r="AL24" s="37">
        <f>IF(AR46=1000000,0,AU46)</f>
        <v>1314.76</v>
      </c>
      <c r="AM24" s="5">
        <f>IF(AL24=1000000,0,IF(AM23=0,0,AL24-AL23))</f>
        <v>40.759999999999991</v>
      </c>
      <c r="AN24" s="5">
        <f>IF(AL24=1000000,0,IF(AN23=0,0,AN23+AL24))</f>
        <v>6312.39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 t="str">
        <f>'Verification of Boxes'!J21</f>
        <v>TRAYNOR</v>
      </c>
      <c r="AA25" s="37">
        <f t="shared" si="19"/>
        <v>0</v>
      </c>
      <c r="AB25" s="5"/>
      <c r="AC25" s="100">
        <f t="shared" si="15"/>
        <v>0</v>
      </c>
      <c r="AD25" s="110"/>
      <c r="AE25" s="5" t="str">
        <f t="shared" si="18"/>
        <v>excluded</v>
      </c>
      <c r="AF25" s="5">
        <f t="shared" si="16"/>
        <v>0</v>
      </c>
      <c r="AG25" s="96">
        <f t="shared" si="17"/>
        <v>0</v>
      </c>
      <c r="AJ25" s="325" t="s">
        <v>191</v>
      </c>
      <c r="AK25" s="326"/>
      <c r="AL25" s="89">
        <f>IF(AL24=1000000,0,AW46)</f>
        <v>1416.76</v>
      </c>
      <c r="AM25" s="90">
        <f>IF(AL25=1000000,0,IF(AM24=0,0,AL25-AL24))</f>
        <v>102</v>
      </c>
      <c r="AN25" s="90">
        <f>IF(AL25=1000000,0,IF(AN24=0,0,AN24+AL25))</f>
        <v>7729.1500000000005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142.76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0</v>
      </c>
      <c r="AV27" s="5">
        <f>AU27</f>
        <v>0</v>
      </c>
      <c r="AW27" s="5">
        <f t="shared" ref="AW27:AW32" si="21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142.76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0"/>
        <v>0</v>
      </c>
      <c r="AV28" s="5">
        <f>AV27+AU28</f>
        <v>0</v>
      </c>
      <c r="AW28" s="5">
        <f t="shared" si="21"/>
        <v>0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0"/>
        <v>0</v>
      </c>
      <c r="AV29" s="5">
        <f>AV28+AU29</f>
        <v>0</v>
      </c>
      <c r="AW29" s="5">
        <f t="shared" si="21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0"/>
        <v>0</v>
      </c>
      <c r="AV30" s="5">
        <f>AV29+AU30</f>
        <v>0</v>
      </c>
      <c r="AW30" s="5">
        <f t="shared" si="21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$BK69</f>
        <v>142.76</v>
      </c>
      <c r="U31" s="40">
        <f t="shared" si="13"/>
        <v>234.12999999999988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0"/>
        <v>0</v>
      </c>
      <c r="AV31" s="5">
        <f>AV30+AU31</f>
        <v>0</v>
      </c>
      <c r="AW31" s="5">
        <f t="shared" si="21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142.76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271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49">
        <f>SUM(U11:U31)</f>
        <v>10184.999999999998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0"/>
        <v>0</v>
      </c>
      <c r="AV32" s="5">
        <f>AV31+AU32</f>
        <v>0</v>
      </c>
      <c r="AW32" s="5">
        <f t="shared" si="21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183.51999999999998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HENDERSON</v>
      </c>
      <c r="AA44" s="250">
        <v>1077.4199999999998</v>
      </c>
      <c r="AB44" s="250">
        <v>1077.4199999999998</v>
      </c>
      <c r="AC44" s="250">
        <f>AC43+AA44</f>
        <v>1260.9399999999998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BASSETT</v>
      </c>
      <c r="AA45" s="250">
        <v>1192.8</v>
      </c>
      <c r="AB45" s="250">
        <v>1192.8</v>
      </c>
      <c r="AC45" s="250">
        <f>AC44+AA45</f>
        <v>2453.7399999999998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MCKEEVER</v>
      </c>
      <c r="AA46" s="250">
        <v>1269.8900000000001</v>
      </c>
      <c r="AB46" s="250">
        <v>1269.8900000000001</v>
      </c>
      <c r="AC46" s="250">
        <f t="shared" ref="AC46:AC63" si="25">AC45+AA46</f>
        <v>3723.63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1077.4199999999998</v>
      </c>
      <c r="AN46" s="2">
        <f>AN47+AL46</f>
        <v>1192.8</v>
      </c>
      <c r="AP46" s="2">
        <f>AP47+AN46</f>
        <v>1269.8900000000001</v>
      </c>
      <c r="AR46" s="2">
        <f>AR47+AP46</f>
        <v>1274</v>
      </c>
      <c r="AS46" s="2"/>
      <c r="AU46" s="2">
        <f>AU47+AR46</f>
        <v>1314.76</v>
      </c>
      <c r="AW46" s="2">
        <f>AW47+AU46</f>
        <v>1416.76</v>
      </c>
      <c r="AX46" s="2"/>
      <c r="BG46" t="s">
        <v>218</v>
      </c>
    </row>
    <row r="47" spans="4:75" x14ac:dyDescent="0.25">
      <c r="Z47" s="253" t="str">
        <v>GALLEN</v>
      </c>
      <c r="AA47" s="250">
        <v>1274</v>
      </c>
      <c r="AB47" s="250">
        <v>1274</v>
      </c>
      <c r="AC47" s="250">
        <f t="shared" si="25"/>
        <v>4997.63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1077.4199999999998</v>
      </c>
      <c r="AN47" s="2">
        <f>MIN(AN48:AN67)</f>
        <v>115.38000000000011</v>
      </c>
      <c r="AP47" s="2">
        <f>MIN(AP48:AP67)</f>
        <v>77.090000000000146</v>
      </c>
      <c r="AR47" s="2">
        <f>MIN(AR48:AR67)</f>
        <v>4.1099999999999</v>
      </c>
      <c r="AS47" s="2"/>
      <c r="AU47" s="2">
        <f>MIN(AU48:AU67)</f>
        <v>40.759999999999991</v>
      </c>
      <c r="AW47" s="2">
        <f>MIN(AW48:AW67)</f>
        <v>102</v>
      </c>
      <c r="AX47" s="2"/>
    </row>
    <row r="48" spans="4:75" ht="37.5" x14ac:dyDescent="0.25">
      <c r="Z48" s="253" t="str">
        <v>GUY</v>
      </c>
      <c r="AA48" s="250">
        <v>1274</v>
      </c>
      <c r="AB48" s="250">
        <v>1274</v>
      </c>
      <c r="AC48" s="250">
        <f t="shared" si="25"/>
        <v>6271.63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BASSETT</v>
      </c>
      <c r="AK48" s="2">
        <f t="shared" si="26"/>
        <v>1192.8</v>
      </c>
      <c r="AL48">
        <f>IF(AK48&lt;&gt;0,AK48,1000000)</f>
        <v>1192.8</v>
      </c>
      <c r="AM48" s="2">
        <f t="shared" ref="AM48:AM67" si="27">AL48-AL$47</f>
        <v>115.38000000000011</v>
      </c>
      <c r="AN48">
        <f>IF(AM48&lt;&gt;0,AM48,1000000)</f>
        <v>115.38000000000011</v>
      </c>
      <c r="AO48" s="2">
        <f t="shared" ref="AO48:AO67" si="28">AN48-AN$47</f>
        <v>0</v>
      </c>
      <c r="AP48">
        <f t="shared" ref="AP48:AP67" si="29">IF(AO48&lt;&gt;0,AO48,1000000)</f>
        <v>1000000</v>
      </c>
      <c r="AQ48" s="2">
        <f t="shared" ref="AQ48:AQ67" si="30">AP48-AP$47</f>
        <v>999922.91</v>
      </c>
      <c r="AR48">
        <f t="shared" ref="AR48:AR67" si="31">IF(AQ48&lt;&gt;0,AQ48,1000000)</f>
        <v>999922.91</v>
      </c>
      <c r="AT48" s="2">
        <f t="shared" ref="AT48:AT67" si="32">AR48-AR$47</f>
        <v>999918.8</v>
      </c>
      <c r="AU48">
        <f t="shared" ref="AU48:AU67" si="33">IF(AT48&lt;&gt;0,AT48,1000000)</f>
        <v>999918.8</v>
      </c>
      <c r="AV48" s="2">
        <f t="shared" ref="AV48:AV67" si="34">AU48-AU$47</f>
        <v>999878.04</v>
      </c>
      <c r="AW48">
        <f t="shared" ref="AW48:AW67" si="35">IF(AV48&lt;&gt;0,AV48,1000000)</f>
        <v>999878.04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HIGGINSON</v>
      </c>
      <c r="AA49" s="250">
        <v>1274</v>
      </c>
      <c r="AB49" s="250">
        <v>1274</v>
      </c>
      <c r="AC49" s="250">
        <f t="shared" si="25"/>
        <v>7545.63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CARLIN</v>
      </c>
      <c r="AK49" s="2">
        <f t="shared" si="26"/>
        <v>1314.76</v>
      </c>
      <c r="AL49">
        <f t="shared" ref="AL49:AL67" si="36">IF(AK49&lt;&gt;0,AK49,1000000)</f>
        <v>1314.76</v>
      </c>
      <c r="AM49" s="2">
        <f t="shared" si="27"/>
        <v>237.34000000000015</v>
      </c>
      <c r="AN49">
        <f t="shared" ref="AN49:AN67" si="37">IF(AM49&lt;&gt;0,AM49,1000000)</f>
        <v>237.34000000000015</v>
      </c>
      <c r="AO49" s="2">
        <f t="shared" si="28"/>
        <v>121.96000000000004</v>
      </c>
      <c r="AP49">
        <f t="shared" si="29"/>
        <v>121.96000000000004</v>
      </c>
      <c r="AQ49" s="2">
        <f t="shared" si="30"/>
        <v>44.869999999999891</v>
      </c>
      <c r="AR49">
        <f t="shared" si="31"/>
        <v>44.869999999999891</v>
      </c>
      <c r="AT49" s="2">
        <f t="shared" si="32"/>
        <v>40.759999999999991</v>
      </c>
      <c r="AU49">
        <f t="shared" si="33"/>
        <v>40.759999999999991</v>
      </c>
      <c r="AV49" s="2">
        <f t="shared" si="34"/>
        <v>0</v>
      </c>
      <c r="AW49">
        <f t="shared" si="35"/>
        <v>1000000</v>
      </c>
      <c r="BE49" s="5" t="str">
        <f>IF($BH5="y",$BE5,IF($BH6="y",$BE6,IF($BH7="y",$BE7,IF($BH8="y",$BE8,IF($BH9="y",$BE9,IF($BH10="y",$BE10,0))))))</f>
        <v>CARLIN</v>
      </c>
      <c r="BG49" s="125" t="str">
        <f t="shared" ref="BG49:BG68" si="38">BE5</f>
        <v>BASSETT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CARLIN</v>
      </c>
      <c r="AA50" s="250">
        <v>1314.76</v>
      </c>
      <c r="AB50" s="250">
        <v>1314.76</v>
      </c>
      <c r="AC50" s="250">
        <f t="shared" si="25"/>
        <v>8860.39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EATON</v>
      </c>
      <c r="AK50" s="2">
        <f t="shared" si="26"/>
        <v>1416.76</v>
      </c>
      <c r="AL50">
        <f t="shared" si="36"/>
        <v>1416.76</v>
      </c>
      <c r="AM50" s="2">
        <f t="shared" si="27"/>
        <v>339.34000000000015</v>
      </c>
      <c r="AN50">
        <f t="shared" si="37"/>
        <v>339.34000000000015</v>
      </c>
      <c r="AO50" s="2">
        <f t="shared" si="28"/>
        <v>223.96000000000004</v>
      </c>
      <c r="AP50">
        <f t="shared" si="29"/>
        <v>223.96000000000004</v>
      </c>
      <c r="AQ50" s="2">
        <f t="shared" si="30"/>
        <v>146.86999999999989</v>
      </c>
      <c r="AR50">
        <f t="shared" si="31"/>
        <v>146.86999999999989</v>
      </c>
      <c r="AT50" s="2">
        <f t="shared" si="32"/>
        <v>142.76</v>
      </c>
      <c r="AU50">
        <f t="shared" si="33"/>
        <v>142.76</v>
      </c>
      <c r="AV50" s="2">
        <f t="shared" si="34"/>
        <v>102</v>
      </c>
      <c r="AW50">
        <f t="shared" si="35"/>
        <v>102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CARLIN</v>
      </c>
      <c r="BH50" s="128"/>
      <c r="BI50" s="5">
        <f t="shared" si="39"/>
        <v>-142.76</v>
      </c>
      <c r="BJ50" s="5">
        <f t="shared" si="40"/>
        <v>0</v>
      </c>
      <c r="BK50" s="5">
        <f t="shared" si="41"/>
        <v>-142.76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EATON</v>
      </c>
      <c r="AA51" s="250">
        <v>1416.76</v>
      </c>
      <c r="AB51" s="250">
        <v>1416.76</v>
      </c>
      <c r="AC51" s="250">
        <f t="shared" si="25"/>
        <v>10277.15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GALLEN</v>
      </c>
      <c r="AK51" s="2">
        <f t="shared" si="26"/>
        <v>1274</v>
      </c>
      <c r="AL51">
        <f t="shared" si="36"/>
        <v>1274</v>
      </c>
      <c r="AM51" s="2">
        <f t="shared" si="27"/>
        <v>196.58000000000015</v>
      </c>
      <c r="AN51">
        <f t="shared" si="37"/>
        <v>196.58000000000015</v>
      </c>
      <c r="AO51" s="2">
        <f t="shared" si="28"/>
        <v>81.200000000000045</v>
      </c>
      <c r="AP51">
        <f t="shared" si="29"/>
        <v>81.200000000000045</v>
      </c>
      <c r="AQ51" s="2">
        <f t="shared" si="30"/>
        <v>4.1099999999999</v>
      </c>
      <c r="AR51">
        <f t="shared" si="31"/>
        <v>4.1099999999999</v>
      </c>
      <c r="AT51" s="2">
        <f t="shared" si="32"/>
        <v>0</v>
      </c>
      <c r="AU51">
        <f t="shared" si="33"/>
        <v>1000000</v>
      </c>
      <c r="AV51" s="2">
        <f t="shared" si="34"/>
        <v>999959.24</v>
      </c>
      <c r="AW51">
        <f t="shared" si="35"/>
        <v>999959.24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EATON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 t="str">
        <v>HAMLEY</v>
      </c>
      <c r="AA52" s="250">
        <v>0</v>
      </c>
      <c r="AB52" s="250">
        <v>1000000</v>
      </c>
      <c r="AC52" s="250">
        <f t="shared" si="25"/>
        <v>10277.15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GUY</v>
      </c>
      <c r="AK52" s="2">
        <f t="shared" si="26"/>
        <v>1274</v>
      </c>
      <c r="AL52">
        <f t="shared" si="36"/>
        <v>1274</v>
      </c>
      <c r="AM52" s="2">
        <f t="shared" si="27"/>
        <v>196.58000000000015</v>
      </c>
      <c r="AN52">
        <f t="shared" si="37"/>
        <v>196.58000000000015</v>
      </c>
      <c r="AO52" s="2">
        <f t="shared" si="28"/>
        <v>81.200000000000045</v>
      </c>
      <c r="AP52">
        <f t="shared" si="29"/>
        <v>81.200000000000045</v>
      </c>
      <c r="AQ52" s="2">
        <f t="shared" si="30"/>
        <v>4.1099999999999</v>
      </c>
      <c r="AR52">
        <f t="shared" si="31"/>
        <v>4.1099999999999</v>
      </c>
      <c r="AT52" s="2">
        <f t="shared" si="32"/>
        <v>0</v>
      </c>
      <c r="AU52">
        <f t="shared" si="33"/>
        <v>1000000</v>
      </c>
      <c r="AV52" s="2">
        <f t="shared" si="34"/>
        <v>999959.24</v>
      </c>
      <c r="AW52">
        <f t="shared" si="35"/>
        <v>999959.24</v>
      </c>
      <c r="BE52" s="5">
        <f>IF($BH23="y",$BE23,IF($BH24="y",$BE24,0))</f>
        <v>0</v>
      </c>
      <c r="BG52" s="127" t="str">
        <f t="shared" si="38"/>
        <v>GALLEN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 t="str">
        <v>LEE</v>
      </c>
      <c r="AA53" s="250">
        <v>0</v>
      </c>
      <c r="AB53" s="250">
        <v>1000000</v>
      </c>
      <c r="AC53" s="250">
        <f t="shared" si="25"/>
        <v>10277.15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HAMLEY</v>
      </c>
      <c r="AK53" s="2">
        <f t="shared" si="26"/>
        <v>0</v>
      </c>
      <c r="AL53">
        <f t="shared" si="36"/>
        <v>1000000</v>
      </c>
      <c r="AM53" s="2">
        <f t="shared" si="27"/>
        <v>998922.58</v>
      </c>
      <c r="AN53">
        <f t="shared" si="37"/>
        <v>998922.58</v>
      </c>
      <c r="AO53" s="2">
        <f t="shared" si="28"/>
        <v>998807.2</v>
      </c>
      <c r="AP53">
        <f t="shared" si="29"/>
        <v>998807.2</v>
      </c>
      <c r="AQ53" s="2">
        <f t="shared" si="30"/>
        <v>998730.11</v>
      </c>
      <c r="AR53">
        <f t="shared" si="31"/>
        <v>998730.11</v>
      </c>
      <c r="AT53" s="2">
        <f t="shared" si="32"/>
        <v>998726</v>
      </c>
      <c r="AU53">
        <f t="shared" si="33"/>
        <v>998726</v>
      </c>
      <c r="AV53" s="2">
        <f t="shared" si="34"/>
        <v>998685.24</v>
      </c>
      <c r="AW53">
        <f t="shared" si="35"/>
        <v>998685.24</v>
      </c>
      <c r="BG53" s="127" t="str">
        <f t="shared" si="38"/>
        <v>GUY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5"/>
        <v>10277.15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HENDERSON</v>
      </c>
      <c r="AK54" s="2">
        <f t="shared" si="26"/>
        <v>1077.4199999999998</v>
      </c>
      <c r="AL54">
        <f t="shared" si="36"/>
        <v>1077.4199999999998</v>
      </c>
      <c r="AM54" s="2">
        <f t="shared" si="27"/>
        <v>0</v>
      </c>
      <c r="AN54">
        <f t="shared" si="37"/>
        <v>1000000</v>
      </c>
      <c r="AO54" s="2">
        <f t="shared" si="28"/>
        <v>999884.62</v>
      </c>
      <c r="AP54">
        <f t="shared" si="29"/>
        <v>999884.62</v>
      </c>
      <c r="AQ54" s="2">
        <f t="shared" si="30"/>
        <v>999807.53</v>
      </c>
      <c r="AR54">
        <f t="shared" si="31"/>
        <v>999807.53</v>
      </c>
      <c r="AT54" s="2">
        <f t="shared" si="32"/>
        <v>999803.42</v>
      </c>
      <c r="AU54">
        <f t="shared" si="33"/>
        <v>999803.42</v>
      </c>
      <c r="AV54" s="2">
        <f t="shared" si="34"/>
        <v>999762.66</v>
      </c>
      <c r="AW54">
        <f t="shared" si="35"/>
        <v>999762.66</v>
      </c>
      <c r="BG54" s="127" t="str">
        <f t="shared" si="38"/>
        <v>HAMLEY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5"/>
        <v>10277.15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HIGGINSON</v>
      </c>
      <c r="AK55" s="2">
        <f t="shared" si="26"/>
        <v>1274</v>
      </c>
      <c r="AL55">
        <f t="shared" si="36"/>
        <v>1274</v>
      </c>
      <c r="AM55" s="2">
        <f t="shared" si="27"/>
        <v>196.58000000000015</v>
      </c>
      <c r="AN55">
        <f t="shared" si="37"/>
        <v>196.58000000000015</v>
      </c>
      <c r="AO55" s="2">
        <f t="shared" si="28"/>
        <v>81.200000000000045</v>
      </c>
      <c r="AP55">
        <f t="shared" si="29"/>
        <v>81.200000000000045</v>
      </c>
      <c r="AQ55" s="2">
        <f t="shared" si="30"/>
        <v>4.1099999999999</v>
      </c>
      <c r="AR55">
        <f t="shared" si="31"/>
        <v>4.1099999999999</v>
      </c>
      <c r="AT55" s="2">
        <f t="shared" si="32"/>
        <v>0</v>
      </c>
      <c r="AU55">
        <f t="shared" si="33"/>
        <v>1000000</v>
      </c>
      <c r="AV55" s="2">
        <f t="shared" si="34"/>
        <v>999959.24</v>
      </c>
      <c r="AW55">
        <f t="shared" si="35"/>
        <v>999959.24</v>
      </c>
      <c r="BG55" s="127" t="str">
        <f t="shared" si="38"/>
        <v>HENDERSON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10277.15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6"/>
        <v>LEE</v>
      </c>
      <c r="AK56" s="2">
        <f t="shared" si="26"/>
        <v>0</v>
      </c>
      <c r="AL56">
        <f t="shared" si="36"/>
        <v>1000000</v>
      </c>
      <c r="AM56" s="2">
        <f t="shared" si="27"/>
        <v>998922.58</v>
      </c>
      <c r="AN56">
        <f t="shared" si="37"/>
        <v>998922.58</v>
      </c>
      <c r="AO56" s="2">
        <f t="shared" si="28"/>
        <v>998807.2</v>
      </c>
      <c r="AP56">
        <f t="shared" si="29"/>
        <v>998807.2</v>
      </c>
      <c r="AQ56" s="2">
        <f t="shared" si="30"/>
        <v>998730.11</v>
      </c>
      <c r="AR56">
        <f t="shared" si="31"/>
        <v>998730.11</v>
      </c>
      <c r="AT56" s="2">
        <f t="shared" si="32"/>
        <v>998726</v>
      </c>
      <c r="AU56">
        <f t="shared" si="33"/>
        <v>998726</v>
      </c>
      <c r="AV56" s="2">
        <f t="shared" si="34"/>
        <v>998685.24</v>
      </c>
      <c r="AW56">
        <f t="shared" si="35"/>
        <v>998685.24</v>
      </c>
      <c r="BG56" s="127" t="str">
        <f t="shared" si="38"/>
        <v>HIGGINSON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10277.15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6"/>
        <v>MCKEEVER</v>
      </c>
      <c r="AK57" s="2">
        <f t="shared" si="26"/>
        <v>1269.8900000000001</v>
      </c>
      <c r="AL57">
        <f t="shared" si="36"/>
        <v>1269.8900000000001</v>
      </c>
      <c r="AM57" s="2">
        <f t="shared" si="27"/>
        <v>192.47000000000025</v>
      </c>
      <c r="AN57">
        <f t="shared" si="37"/>
        <v>192.47000000000025</v>
      </c>
      <c r="AO57" s="2">
        <f t="shared" si="28"/>
        <v>77.090000000000146</v>
      </c>
      <c r="AP57">
        <f t="shared" si="29"/>
        <v>77.090000000000146</v>
      </c>
      <c r="AQ57" s="2">
        <f t="shared" si="30"/>
        <v>0</v>
      </c>
      <c r="AR57">
        <f t="shared" si="31"/>
        <v>1000000</v>
      </c>
      <c r="AT57" s="2">
        <f t="shared" si="32"/>
        <v>999995.89</v>
      </c>
      <c r="AU57">
        <f t="shared" si="33"/>
        <v>999995.89</v>
      </c>
      <c r="AV57" s="2">
        <f t="shared" si="34"/>
        <v>999955.13</v>
      </c>
      <c r="AW57">
        <f t="shared" si="35"/>
        <v>999955.13</v>
      </c>
      <c r="BG57" s="127" t="str">
        <f t="shared" si="38"/>
        <v>LEE</v>
      </c>
      <c r="BH57" s="128"/>
      <c r="BI57" s="5">
        <f t="shared" si="39"/>
        <v>0</v>
      </c>
      <c r="BJ57" s="5">
        <f t="shared" si="40"/>
        <v>0</v>
      </c>
      <c r="BK57" s="5">
        <f t="shared" si="41"/>
        <v>0</v>
      </c>
      <c r="BN57" s="5">
        <f t="shared" si="42"/>
        <v>0</v>
      </c>
      <c r="BW57" s="5">
        <f t="shared" si="43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10277.15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6"/>
        <v>MILLER</v>
      </c>
      <c r="AK58" s="2">
        <f t="shared" si="26"/>
        <v>0</v>
      </c>
      <c r="AL58">
        <f t="shared" si="36"/>
        <v>1000000</v>
      </c>
      <c r="AM58" s="2">
        <f t="shared" si="27"/>
        <v>998922.58</v>
      </c>
      <c r="AN58">
        <f t="shared" si="37"/>
        <v>998922.58</v>
      </c>
      <c r="AO58" s="2">
        <f t="shared" si="28"/>
        <v>998807.2</v>
      </c>
      <c r="AP58">
        <f t="shared" si="29"/>
        <v>998807.2</v>
      </c>
      <c r="AQ58" s="2">
        <f t="shared" si="30"/>
        <v>998730.11</v>
      </c>
      <c r="AR58">
        <f t="shared" si="31"/>
        <v>998730.11</v>
      </c>
      <c r="AT58" s="2">
        <f t="shared" si="32"/>
        <v>998726</v>
      </c>
      <c r="AU58">
        <f t="shared" si="33"/>
        <v>998726</v>
      </c>
      <c r="AV58" s="2">
        <f t="shared" si="34"/>
        <v>998685.24</v>
      </c>
      <c r="AW58">
        <f t="shared" si="35"/>
        <v>998685.24</v>
      </c>
      <c r="BG58" s="127" t="str">
        <f t="shared" si="38"/>
        <v>MCKEEVER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10277.15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6"/>
        <v>TRAYNOR</v>
      </c>
      <c r="AK59" s="2">
        <f t="shared" si="26"/>
        <v>0</v>
      </c>
      <c r="AL59">
        <f t="shared" si="36"/>
        <v>1000000</v>
      </c>
      <c r="AM59" s="2">
        <f t="shared" si="27"/>
        <v>998922.58</v>
      </c>
      <c r="AN59">
        <f t="shared" si="37"/>
        <v>998922.58</v>
      </c>
      <c r="AO59" s="2">
        <f t="shared" si="28"/>
        <v>998807.2</v>
      </c>
      <c r="AP59">
        <f t="shared" si="29"/>
        <v>998807.2</v>
      </c>
      <c r="AQ59" s="2">
        <f t="shared" si="30"/>
        <v>998730.11</v>
      </c>
      <c r="AR59">
        <f t="shared" si="31"/>
        <v>998730.11</v>
      </c>
      <c r="AT59" s="2">
        <f t="shared" si="32"/>
        <v>998726</v>
      </c>
      <c r="AU59">
        <f t="shared" si="33"/>
        <v>998726</v>
      </c>
      <c r="AV59" s="2">
        <f t="shared" si="34"/>
        <v>998685.24</v>
      </c>
      <c r="AW59">
        <f t="shared" si="35"/>
        <v>998685.24</v>
      </c>
      <c r="BG59" s="127" t="str">
        <f t="shared" si="38"/>
        <v>MILLER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10277.15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998922.58</v>
      </c>
      <c r="AN60">
        <f t="shared" si="37"/>
        <v>998922.58</v>
      </c>
      <c r="AO60" s="2">
        <f t="shared" si="28"/>
        <v>998807.2</v>
      </c>
      <c r="AP60">
        <f t="shared" si="29"/>
        <v>998807.2</v>
      </c>
      <c r="AQ60" s="2">
        <f t="shared" si="30"/>
        <v>998730.11</v>
      </c>
      <c r="AR60">
        <f t="shared" si="31"/>
        <v>998730.11</v>
      </c>
      <c r="AT60" s="2">
        <f t="shared" si="32"/>
        <v>998726</v>
      </c>
      <c r="AU60">
        <f t="shared" si="33"/>
        <v>998726</v>
      </c>
      <c r="AV60" s="2">
        <f t="shared" si="34"/>
        <v>998685.24</v>
      </c>
      <c r="AW60">
        <f t="shared" si="35"/>
        <v>998685.24</v>
      </c>
      <c r="BG60" s="127" t="str">
        <f t="shared" si="38"/>
        <v>TRAYNOR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10277.15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998922.58</v>
      </c>
      <c r="AN61">
        <f t="shared" si="37"/>
        <v>998922.58</v>
      </c>
      <c r="AO61" s="2">
        <f t="shared" si="28"/>
        <v>998807.2</v>
      </c>
      <c r="AP61">
        <f t="shared" si="29"/>
        <v>998807.2</v>
      </c>
      <c r="AQ61" s="2">
        <f t="shared" si="30"/>
        <v>998730.11</v>
      </c>
      <c r="AR61">
        <f t="shared" si="31"/>
        <v>998730.11</v>
      </c>
      <c r="AT61" s="2">
        <f t="shared" si="32"/>
        <v>998726</v>
      </c>
      <c r="AU61">
        <f t="shared" si="33"/>
        <v>998726</v>
      </c>
      <c r="AV61" s="2">
        <f t="shared" si="34"/>
        <v>998685.24</v>
      </c>
      <c r="AW61">
        <f t="shared" si="35"/>
        <v>998685.24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10277.15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998922.58</v>
      </c>
      <c r="AN62">
        <f t="shared" si="37"/>
        <v>998922.58</v>
      </c>
      <c r="AO62" s="2">
        <f t="shared" si="28"/>
        <v>998807.2</v>
      </c>
      <c r="AP62">
        <f t="shared" si="29"/>
        <v>998807.2</v>
      </c>
      <c r="AQ62" s="2">
        <f t="shared" si="30"/>
        <v>998730.11</v>
      </c>
      <c r="AR62">
        <f t="shared" si="31"/>
        <v>998730.11</v>
      </c>
      <c r="AT62" s="2">
        <f t="shared" si="32"/>
        <v>998726</v>
      </c>
      <c r="AU62">
        <f t="shared" si="33"/>
        <v>998726</v>
      </c>
      <c r="AV62" s="2">
        <f t="shared" si="34"/>
        <v>998685.24</v>
      </c>
      <c r="AW62">
        <f t="shared" si="35"/>
        <v>998685.24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10277.15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998922.58</v>
      </c>
      <c r="AN63">
        <f t="shared" si="37"/>
        <v>998922.58</v>
      </c>
      <c r="AO63" s="2">
        <f t="shared" si="28"/>
        <v>998807.2</v>
      </c>
      <c r="AP63">
        <f t="shared" si="29"/>
        <v>998807.2</v>
      </c>
      <c r="AQ63" s="2">
        <f t="shared" si="30"/>
        <v>998730.11</v>
      </c>
      <c r="AR63">
        <f t="shared" si="31"/>
        <v>998730.11</v>
      </c>
      <c r="AT63" s="2">
        <f t="shared" si="32"/>
        <v>998726</v>
      </c>
      <c r="AU63">
        <f t="shared" si="33"/>
        <v>998726</v>
      </c>
      <c r="AV63" s="2">
        <f t="shared" si="34"/>
        <v>998685.24</v>
      </c>
      <c r="AW63">
        <f t="shared" si="35"/>
        <v>998685.24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998922.58</v>
      </c>
      <c r="AN64">
        <f t="shared" si="37"/>
        <v>998922.58</v>
      </c>
      <c r="AO64" s="2">
        <f t="shared" si="28"/>
        <v>998807.2</v>
      </c>
      <c r="AP64">
        <f t="shared" si="29"/>
        <v>998807.2</v>
      </c>
      <c r="AQ64" s="2">
        <f t="shared" si="30"/>
        <v>998730.11</v>
      </c>
      <c r="AR64">
        <f t="shared" si="31"/>
        <v>998730.11</v>
      </c>
      <c r="AT64" s="2">
        <f t="shared" si="32"/>
        <v>998726</v>
      </c>
      <c r="AU64">
        <f t="shared" si="33"/>
        <v>998726</v>
      </c>
      <c r="AV64" s="2">
        <f t="shared" si="34"/>
        <v>998685.24</v>
      </c>
      <c r="AW64">
        <f t="shared" si="35"/>
        <v>998685.24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998922.58</v>
      </c>
      <c r="AN65">
        <f t="shared" si="37"/>
        <v>998922.58</v>
      </c>
      <c r="AO65" s="2">
        <f t="shared" si="28"/>
        <v>998807.2</v>
      </c>
      <c r="AP65">
        <f t="shared" si="29"/>
        <v>998807.2</v>
      </c>
      <c r="AQ65" s="2">
        <f t="shared" si="30"/>
        <v>998730.11</v>
      </c>
      <c r="AR65">
        <f t="shared" si="31"/>
        <v>998730.11</v>
      </c>
      <c r="AT65" s="2">
        <f t="shared" si="32"/>
        <v>998726</v>
      </c>
      <c r="AU65">
        <f t="shared" si="33"/>
        <v>998726</v>
      </c>
      <c r="AV65" s="2">
        <f t="shared" si="34"/>
        <v>998685.24</v>
      </c>
      <c r="AW65">
        <f t="shared" si="35"/>
        <v>998685.24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998922.58</v>
      </c>
      <c r="AN66">
        <f t="shared" si="37"/>
        <v>998922.58</v>
      </c>
      <c r="AO66" s="2">
        <f t="shared" si="28"/>
        <v>998807.2</v>
      </c>
      <c r="AP66">
        <f t="shared" si="29"/>
        <v>998807.2</v>
      </c>
      <c r="AQ66" s="2">
        <f t="shared" si="30"/>
        <v>998730.11</v>
      </c>
      <c r="AR66">
        <f t="shared" si="31"/>
        <v>998730.11</v>
      </c>
      <c r="AT66" s="2">
        <f t="shared" si="32"/>
        <v>998726</v>
      </c>
      <c r="AU66">
        <f t="shared" si="33"/>
        <v>998726</v>
      </c>
      <c r="AV66" s="2">
        <f t="shared" si="34"/>
        <v>998685.24</v>
      </c>
      <c r="AW66">
        <f t="shared" si="35"/>
        <v>998685.24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998922.58</v>
      </c>
      <c r="AN67">
        <f t="shared" si="37"/>
        <v>998922.58</v>
      </c>
      <c r="AO67" s="2">
        <f t="shared" si="28"/>
        <v>998807.2</v>
      </c>
      <c r="AP67">
        <f t="shared" si="29"/>
        <v>998807.2</v>
      </c>
      <c r="AQ67" s="2">
        <f t="shared" si="30"/>
        <v>998730.11</v>
      </c>
      <c r="AR67">
        <f t="shared" si="31"/>
        <v>998730.11</v>
      </c>
      <c r="AT67" s="2">
        <f t="shared" si="32"/>
        <v>998726</v>
      </c>
      <c r="AU67">
        <f t="shared" si="33"/>
        <v>998726</v>
      </c>
      <c r="AV67" s="2">
        <f t="shared" si="34"/>
        <v>998685.24</v>
      </c>
      <c r="AW67">
        <f t="shared" si="35"/>
        <v>998685.24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225</v>
      </c>
      <c r="BI69" s="5">
        <f>BG26</f>
        <v>142.76</v>
      </c>
      <c r="BJ69" s="5">
        <f>CE28</f>
        <v>0</v>
      </c>
      <c r="BK69" s="5">
        <f>BI69+BJ69</f>
        <v>142.76</v>
      </c>
      <c r="BW69" s="5">
        <f>SUM(BW49:BW68)</f>
        <v>0</v>
      </c>
    </row>
    <row r="70" spans="36:75" x14ac:dyDescent="0.25">
      <c r="BK70" s="5">
        <f>BG27+CE29</f>
        <v>142.76</v>
      </c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272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T11</f>
        <v>0</v>
      </c>
      <c r="DF211" s="233">
        <f>U11</f>
        <v>1192.8</v>
      </c>
    </row>
    <row r="212" spans="105:110" ht="15.5" x14ac:dyDescent="0.35">
      <c r="DA212" s="232" t="str">
        <f t="shared" ref="DA212:DA230" si="48">IF(A12="Elected","E",IF(A12="Excluded","Excluded",""))&amp;IF(B12&gt;0,B12,"")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T12</f>
        <v>-142.76</v>
      </c>
      <c r="DF212" s="233">
        <f t="shared" si="50"/>
        <v>1172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T13</f>
        <v>0</v>
      </c>
      <c r="DF213" s="233">
        <f t="shared" si="51"/>
        <v>1416.76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T14</f>
        <v>0</v>
      </c>
      <c r="DF214" s="233">
        <f t="shared" si="52"/>
        <v>1274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T15</f>
        <v>0</v>
      </c>
      <c r="DF215" s="233">
        <f t="shared" si="53"/>
        <v>1274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T16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T17</f>
        <v>0</v>
      </c>
      <c r="DF217" s="233">
        <f t="shared" si="55"/>
        <v>1077.4199999999998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T18</f>
        <v>0</v>
      </c>
      <c r="DF218" s="233">
        <f t="shared" si="56"/>
        <v>1274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T19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T20</f>
        <v>0</v>
      </c>
      <c r="DF220" s="233">
        <f t="shared" si="58"/>
        <v>1269.8900000000001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T31</f>
        <v>142.76</v>
      </c>
      <c r="DF231" s="233">
        <f t="shared" si="70"/>
        <v>234.12999999999988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U32</f>
        <v>10184.999999999998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K1:L1"/>
    <mergeCell ref="H3:I3"/>
    <mergeCell ref="O4:S4"/>
    <mergeCell ref="O3:S3"/>
    <mergeCell ref="H4:I4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J7:K7"/>
    <mergeCell ref="L6:M6"/>
    <mergeCell ref="U4:W4"/>
    <mergeCell ref="Z6:AF7"/>
    <mergeCell ref="E4:F4"/>
    <mergeCell ref="R7:S7"/>
    <mergeCell ref="R6:S6"/>
    <mergeCell ref="F8:G8"/>
    <mergeCell ref="H8:I8"/>
    <mergeCell ref="J8:K8"/>
    <mergeCell ref="L8:M8"/>
    <mergeCell ref="N8:O8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AO20:AP20"/>
    <mergeCell ref="AJ24:AK24"/>
    <mergeCell ref="AJ25:AK25"/>
    <mergeCell ref="AO24:AP24"/>
    <mergeCell ref="AO25:AP25"/>
    <mergeCell ref="AJ20:AK20"/>
  </mergeCells>
  <phoneticPr fontId="0" type="noConversion"/>
  <conditionalFormatting sqref="V4:W4">
    <cfRule type="cellIs" dxfId="86" priority="1" stopIfTrue="1" operator="equal">
      <formula>"Totals Correct"</formula>
    </cfRule>
    <cfRule type="cellIs" dxfId="85" priority="2" stopIfTrue="1" operator="equal">
      <formula>"ERROR"</formula>
    </cfRule>
  </conditionalFormatting>
  <conditionalFormatting sqref="U4">
    <cfRule type="cellIs" dxfId="84" priority="3" stopIfTrue="1" operator="equal">
      <formula>"OK TO MOVE TO NEXT STAGE"</formula>
    </cfRule>
    <cfRule type="cellIs" dxfId="83" priority="4" stopIfTrue="1" operator="equal">
      <formula>"DO NOT MOVE TO NEXT STAGE"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1796875" customWidth="1"/>
    <col min="44" max="44" width="16.26953125" customWidth="1"/>
    <col min="45" max="45" width="225.453125" customWidth="1"/>
    <col min="50" max="50" width="217.1796875" customWidth="1"/>
    <col min="51" max="51" width="6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4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115</v>
      </c>
      <c r="J1" s="85" t="s">
        <v>37</v>
      </c>
      <c r="K1" s="311">
        <f>'Basic Input'!C2</f>
        <v>45064</v>
      </c>
      <c r="L1" s="311"/>
      <c r="Z1" s="10" t="s">
        <v>273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274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142.76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115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142.76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275</v>
      </c>
      <c r="P4" s="338"/>
      <c r="Q4" s="338"/>
      <c r="R4" s="338"/>
      <c r="S4" s="339"/>
      <c r="U4" s="324" t="str">
        <f>IF(W33="ERROR","DO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IF(C11=0,0,IF(U11=0,"Excluded",0))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276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115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IF(A12&lt;&gt;0,A12,0)</f>
        <v>Elected</v>
      </c>
      <c r="BJ6" s="5">
        <f t="shared" ref="BJ6:BJ24" si="2">IF(C12=0,0,IF(U12=0,"Excluded",0))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IF($AT5=0,0,IF($AT5="T",$AZ7,$BR4))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1192.8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Elected</v>
      </c>
      <c r="BO9" s="7">
        <f t="shared" si="3"/>
        <v>1172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 t="str">
        <f t="shared" si="3"/>
        <v>Elected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9'!A11&lt;&gt;0,'Stage 9'!A11,IF(W11&gt;=$M$3,"Elected",IF(BP8&lt;&gt;0,"Excluded",0)))</f>
        <v>0</v>
      </c>
      <c r="B11" s="235">
        <f>'Stage 9'!B11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9'!A12&lt;&gt;0,'Stage 9'!A12,IF(W12&gt;=$M$3,"Elected",IF(BP9&lt;&gt;0,"Excluded",0)))</f>
        <v>Elected</v>
      </c>
      <c r="B12" s="235">
        <f>'Stage 9'!B12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 t="shared" si="12"/>
        <v>0</v>
      </c>
      <c r="W12" s="39">
        <f t="shared" si="13"/>
        <v>0</v>
      </c>
      <c r="AJ12" s="38"/>
      <c r="AZ12" t="s">
        <v>171</v>
      </c>
      <c r="BA12" s="3" t="s">
        <v>172</v>
      </c>
      <c r="BB12" s="3"/>
      <c r="BC12" s="50">
        <f>AG3</f>
        <v>142.76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9'!A13&lt;&gt;0,'Stage 9'!A13,IF(W13&gt;=$M$3,"Elected",IF(BP10&lt;&gt;0,"Excluded",0)))</f>
        <v>Elected</v>
      </c>
      <c r="B13" s="235">
        <f>'Stage 9'!B13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 t="shared" si="12"/>
        <v>0</v>
      </c>
      <c r="W13" s="39">
        <f t="shared" si="13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Elected</v>
      </c>
      <c r="B14" s="235">
        <f>'Stage 9'!B14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 t="shared" si="12"/>
        <v>0</v>
      </c>
      <c r="W14" s="39">
        <f t="shared" si="13"/>
        <v>0</v>
      </c>
      <c r="Z14" s="92" t="str">
        <f>'Verification of Boxes'!J10</f>
        <v>BASSETT</v>
      </c>
      <c r="AA14" s="93">
        <f>U11</f>
        <v>1192.8</v>
      </c>
      <c r="AB14" s="88"/>
      <c r="AC14" s="99">
        <f t="shared" ref="AC14:AC33" si="14">IF(AA14&gt;0,AA14-AG$4,0)</f>
        <v>-81.200000000000045</v>
      </c>
      <c r="AD14" s="123"/>
      <c r="AE14" s="88" t="str">
        <f>IF(Z14=0,0,IF(AA14&gt;=AG$4,"elected",IF(AA14=0,"excluded","continuing")))</f>
        <v>continuing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1077.4199999999998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Elected</v>
      </c>
      <c r="B15" s="235">
        <f>'Stage 9'!B15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 t="shared" si="12"/>
        <v>0</v>
      </c>
      <c r="W15" s="39">
        <f t="shared" si="13"/>
        <v>0</v>
      </c>
      <c r="Z15" s="95" t="str">
        <f>'Verification of Boxes'!J11</f>
        <v>CARLIN</v>
      </c>
      <c r="AA15" s="37">
        <f>U12</f>
        <v>1172</v>
      </c>
      <c r="AB15" s="5"/>
      <c r="AC15" s="100">
        <f t="shared" si="14"/>
        <v>-102</v>
      </c>
      <c r="AD15" s="110"/>
      <c r="AE15" s="5" t="str">
        <f t="shared" ref="AE15:AE33" si="17">IF(Z15=0,0,IF(AA15&gt;=AG$4,"elected",IF(AA15=0,"excluded","continuing")))</f>
        <v>continuing</v>
      </c>
      <c r="AF15" s="5">
        <f t="shared" si="15"/>
        <v>0</v>
      </c>
      <c r="AG15" s="96">
        <f t="shared" si="16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9'!A16&lt;&gt;0,'Stage 9'!A16,IF(W16&gt;=$M$3,"Elected",IF(BP13&lt;&gt;0,"Excluded",0)))</f>
        <v>Excluded</v>
      </c>
      <c r="B16" s="235">
        <f>'Stage 9'!B16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 t="shared" si="12"/>
        <v>0</v>
      </c>
      <c r="W16" s="39">
        <f t="shared" si="13"/>
        <v>0</v>
      </c>
      <c r="Z16" s="95" t="str">
        <f>'Verification of Boxes'!J12</f>
        <v>EATON</v>
      </c>
      <c r="AA16" s="37">
        <f t="shared" ref="AA16:AA33" si="18">U13</f>
        <v>1416.76</v>
      </c>
      <c r="AB16" s="5"/>
      <c r="AC16" s="100">
        <f t="shared" si="14"/>
        <v>142.76</v>
      </c>
      <c r="AD16" s="110"/>
      <c r="AE16" s="5" t="str">
        <f t="shared" si="17"/>
        <v>elected</v>
      </c>
      <c r="AF16" s="5">
        <f t="shared" si="15"/>
        <v>142.76</v>
      </c>
      <c r="AG16" s="96" t="str">
        <f t="shared" si="16"/>
        <v>transfer largest surplus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>IF('Stage 9'!A17&lt;&gt;0,'Stage 9'!A17,IF(W17&gt;=$M$3,"Elected",IF(BP14&lt;&gt;0,"Excluded",0)))</f>
        <v>0</v>
      </c>
      <c r="B17" s="235">
        <f>'Stage 9'!B17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 t="shared" si="12"/>
        <v>0</v>
      </c>
      <c r="W17" s="39">
        <f t="shared" si="13"/>
        <v>0</v>
      </c>
      <c r="Z17" s="95" t="str">
        <f>'Verification of Boxes'!J13</f>
        <v>GALLEN</v>
      </c>
      <c r="AA17" s="37">
        <f t="shared" si="18"/>
        <v>1274</v>
      </c>
      <c r="AB17" s="5"/>
      <c r="AC17" s="100">
        <f t="shared" si="14"/>
        <v>0</v>
      </c>
      <c r="AD17" s="110"/>
      <c r="AE17" s="5" t="str">
        <f t="shared" si="17"/>
        <v>elected</v>
      </c>
      <c r="AF17" s="5">
        <f t="shared" si="15"/>
        <v>0</v>
      </c>
      <c r="AG17" s="96">
        <f t="shared" si="16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1269.8900000000001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9'!A18&lt;&gt;0,'Stage 9'!A18,IF(W18&gt;=$M$3,"Elected",IF(BP15&lt;&gt;0,"Excluded",0)))</f>
        <v>Elected</v>
      </c>
      <c r="B18" s="235">
        <f>'Stage 9'!B18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 t="shared" si="12"/>
        <v>0</v>
      </c>
      <c r="W18" s="39">
        <f t="shared" si="13"/>
        <v>0</v>
      </c>
      <c r="Z18" s="95" t="str">
        <f>'Verification of Boxes'!J14</f>
        <v>GUY</v>
      </c>
      <c r="AA18" s="37">
        <f t="shared" si="18"/>
        <v>1274</v>
      </c>
      <c r="AB18" s="5"/>
      <c r="AC18" s="100">
        <f t="shared" si="14"/>
        <v>0</v>
      </c>
      <c r="AD18" s="110"/>
      <c r="AE18" s="5" t="str">
        <f t="shared" si="17"/>
        <v>elected</v>
      </c>
      <c r="AF18" s="5">
        <f t="shared" si="15"/>
        <v>0</v>
      </c>
      <c r="AG18" s="96">
        <f t="shared" si="16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9'!A19&lt;&gt;0,'Stage 9'!A19,IF(W19&gt;=$M$3,"Elected",IF(BP16&lt;&gt;0,"Excluded",0)))</f>
        <v>Excluded</v>
      </c>
      <c r="B19" s="235">
        <f>'Stage 9'!B19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HAMLEY</v>
      </c>
      <c r="AA19" s="37">
        <f t="shared" si="18"/>
        <v>0</v>
      </c>
      <c r="AB19" s="5"/>
      <c r="AC19" s="100">
        <f t="shared" si="14"/>
        <v>0</v>
      </c>
      <c r="AD19" s="110"/>
      <c r="AE19" s="5" t="str">
        <f t="shared" si="17"/>
        <v>excluded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 t="shared" si="12"/>
        <v>0</v>
      </c>
      <c r="W20" s="39">
        <f t="shared" si="13"/>
        <v>0</v>
      </c>
      <c r="Z20" s="95" t="str">
        <f>'Verification of Boxes'!J16</f>
        <v>HENDERSON</v>
      </c>
      <c r="AA20" s="37">
        <f t="shared" si="18"/>
        <v>1077.4199999999998</v>
      </c>
      <c r="AB20" s="5"/>
      <c r="AC20" s="100">
        <f t="shared" si="14"/>
        <v>-196.58000000000015</v>
      </c>
      <c r="AD20" s="110"/>
      <c r="AE20" s="5" t="str">
        <f t="shared" si="17"/>
        <v>continuing</v>
      </c>
      <c r="AF20" s="5">
        <f t="shared" si="15"/>
        <v>0</v>
      </c>
      <c r="AG20" s="96">
        <f t="shared" si="16"/>
        <v>0</v>
      </c>
      <c r="AJ20" s="344" t="s">
        <v>190</v>
      </c>
      <c r="AK20" s="345"/>
      <c r="AL20" s="142">
        <f>AL46</f>
        <v>1077.4199999999998</v>
      </c>
      <c r="AM20" s="118"/>
      <c r="AN20" s="142">
        <f>AL20+AG2</f>
        <v>1220.1799999999998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9'!A21&lt;&gt;0,'Stage 9'!A21,IF(W21&gt;=$M$3,"Elected",IF(BP18&lt;&gt;0,"Excluded",0)))</f>
        <v>Excluded</v>
      </c>
      <c r="B21" s="235">
        <f>'Stage 9'!B21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HIGGINSON</v>
      </c>
      <c r="AA21" s="37">
        <f t="shared" si="18"/>
        <v>1274</v>
      </c>
      <c r="AB21" s="5"/>
      <c r="AC21" s="100">
        <f t="shared" si="14"/>
        <v>0</v>
      </c>
      <c r="AD21" s="110"/>
      <c r="AE21" s="5" t="str">
        <f t="shared" si="17"/>
        <v>elected</v>
      </c>
      <c r="AF21" s="5">
        <f t="shared" si="15"/>
        <v>0</v>
      </c>
      <c r="AG21" s="96">
        <f t="shared" si="16"/>
        <v>0</v>
      </c>
      <c r="AJ21" s="327" t="s">
        <v>191</v>
      </c>
      <c r="AK21" s="275"/>
      <c r="AL21" s="37">
        <f>IF(AL20=1000000,0,AN46)</f>
        <v>1172</v>
      </c>
      <c r="AM21" s="5">
        <f>AL21-AL20</f>
        <v>94.580000000000155</v>
      </c>
      <c r="AN21" s="5">
        <f>IF(AL21=1000000,0,IF(AN20=0,0,AN20+AL21))</f>
        <v>2392.1799999999998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9'!A22&lt;&gt;0,'Stage 9'!A22,IF(W22&gt;=$M$3,"Elected",IF(BP19&lt;&gt;0,"Excluded",0)))</f>
        <v>Excluded</v>
      </c>
      <c r="B22" s="235">
        <f>'Stage 9'!B22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 t="str">
        <f>'Verification of Boxes'!J18</f>
        <v>LEE</v>
      </c>
      <c r="AA22" s="37">
        <f t="shared" si="18"/>
        <v>0</v>
      </c>
      <c r="AB22" s="5"/>
      <c r="AC22" s="100">
        <f t="shared" si="14"/>
        <v>0</v>
      </c>
      <c r="AD22" s="110"/>
      <c r="AE22" s="5" t="str">
        <f t="shared" si="17"/>
        <v>excluded</v>
      </c>
      <c r="AF22" s="5">
        <f t="shared" si="15"/>
        <v>0</v>
      </c>
      <c r="AG22" s="96">
        <f t="shared" si="16"/>
        <v>0</v>
      </c>
      <c r="AJ22" s="327" t="s">
        <v>191</v>
      </c>
      <c r="AK22" s="275"/>
      <c r="AL22" s="37">
        <f>IF(AL21=1000000,0,AP46)</f>
        <v>1192.8</v>
      </c>
      <c r="AM22" s="5">
        <f>IF(AL22=1000000,0,IF(AM21=0,0,AL22-AL21))</f>
        <v>20.799999999999955</v>
      </c>
      <c r="AN22" s="5">
        <f>IF(AL22=1000000,0,IF(AN21=0,0,AN21+AL22))</f>
        <v>3584.9799999999996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 t="str">
        <f>'Verification of Boxes'!J19</f>
        <v>MCKEEVER</v>
      </c>
      <c r="AA23" s="37">
        <f t="shared" si="18"/>
        <v>1269.8900000000001</v>
      </c>
      <c r="AB23" s="5"/>
      <c r="AC23" s="100">
        <f t="shared" si="14"/>
        <v>-4.1099999999999</v>
      </c>
      <c r="AD23" s="110"/>
      <c r="AE23" s="5" t="str">
        <f t="shared" si="17"/>
        <v>continuing</v>
      </c>
      <c r="AF23" s="5">
        <f t="shared" si="15"/>
        <v>0</v>
      </c>
      <c r="AG23" s="96">
        <f t="shared" si="16"/>
        <v>0</v>
      </c>
      <c r="AJ23" s="327" t="s">
        <v>191</v>
      </c>
      <c r="AK23" s="275"/>
      <c r="AL23" s="37">
        <f>IF(AL22=1000000,0,AR46)</f>
        <v>1269.8900000000001</v>
      </c>
      <c r="AM23" s="5">
        <f>IF(AL23=1000000,0,IF(AM22=0,0,AL23-AL22))</f>
        <v>77.090000000000146</v>
      </c>
      <c r="AN23" s="5">
        <f>IF(AL23=1000000,0,IF(AN22=0,0,AN22+AL23))</f>
        <v>4854.87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 t="str">
        <f>'Verification of Boxes'!J20</f>
        <v>MILLER</v>
      </c>
      <c r="AA24" s="37">
        <f t="shared" si="18"/>
        <v>0</v>
      </c>
      <c r="AB24" s="5"/>
      <c r="AC24" s="100">
        <f t="shared" si="14"/>
        <v>0</v>
      </c>
      <c r="AD24" s="110"/>
      <c r="AE24" s="5" t="str">
        <f t="shared" si="17"/>
        <v>excluded</v>
      </c>
      <c r="AF24" s="5">
        <f t="shared" si="15"/>
        <v>0</v>
      </c>
      <c r="AG24" s="96">
        <f t="shared" si="16"/>
        <v>0</v>
      </c>
      <c r="AJ24" s="327" t="s">
        <v>191</v>
      </c>
      <c r="AK24" s="275"/>
      <c r="AL24" s="37">
        <f>IF(AR46=1000000,0,AU46)</f>
        <v>1274</v>
      </c>
      <c r="AM24" s="5">
        <f>IF(AL24=1000000,0,IF(AM23=0,0,AL24-AL23))</f>
        <v>4.1099999999999</v>
      </c>
      <c r="AN24" s="5">
        <f>IF(AL24=1000000,0,IF(AN23=0,0,AN23+AL24))</f>
        <v>6128.87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 t="str">
        <f>'Verification of Boxes'!J21</f>
        <v>TRAYNOR</v>
      </c>
      <c r="AA25" s="37">
        <f t="shared" si="18"/>
        <v>0</v>
      </c>
      <c r="AB25" s="5"/>
      <c r="AC25" s="100">
        <f t="shared" si="14"/>
        <v>0</v>
      </c>
      <c r="AD25" s="110"/>
      <c r="AE25" s="5" t="str">
        <f t="shared" si="17"/>
        <v>excluded</v>
      </c>
      <c r="AF25" s="5">
        <f t="shared" si="15"/>
        <v>0</v>
      </c>
      <c r="AG25" s="96">
        <f t="shared" si="16"/>
        <v>0</v>
      </c>
      <c r="AJ25" s="325" t="s">
        <v>191</v>
      </c>
      <c r="AK25" s="326"/>
      <c r="AL25" s="89">
        <f>IF(AL24=1000000,0,AW46)</f>
        <v>1416.76</v>
      </c>
      <c r="AM25" s="90">
        <f>IF(AL25=1000000,0,IF(AM24=0,0,AL25-AL24))</f>
        <v>142.76</v>
      </c>
      <c r="AN25" s="90">
        <f>IF(AL25=1000000,0,IF(AN24=0,0,AN24+AL25))</f>
        <v>7545.63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0</v>
      </c>
      <c r="AV27" s="5">
        <f>AU27</f>
        <v>0</v>
      </c>
      <c r="AW27" s="5">
        <f t="shared" ref="AW27:AW32" si="20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19"/>
        <v>0</v>
      </c>
      <c r="AV28" s="5">
        <f>AV27+AU28</f>
        <v>0</v>
      </c>
      <c r="AW28" s="5">
        <f t="shared" si="20"/>
        <v>0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19"/>
        <v>0</v>
      </c>
      <c r="AV29" s="5">
        <f>AV28+AU29</f>
        <v>0</v>
      </c>
      <c r="AW29" s="5">
        <f t="shared" si="20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19"/>
        <v>0</v>
      </c>
      <c r="AV30" s="5">
        <f>AV29+AU30</f>
        <v>0</v>
      </c>
      <c r="AW30" s="5">
        <f t="shared" si="20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277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19"/>
        <v>0</v>
      </c>
      <c r="AV31" s="5">
        <f>AV30+AU31</f>
        <v>0</v>
      </c>
      <c r="AW31" s="5">
        <f t="shared" si="20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277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19"/>
        <v>0</v>
      </c>
      <c r="AV32" s="5">
        <f>AV31+AU32</f>
        <v>0</v>
      </c>
      <c r="AW32" s="5">
        <f t="shared" si="20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142.76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HENDERSON</v>
      </c>
      <c r="AA44" s="250">
        <v>1077.4199999999998</v>
      </c>
      <c r="AB44" s="250">
        <v>1077.4199999999998</v>
      </c>
      <c r="AC44" s="250">
        <f>AC43+AA44</f>
        <v>1220.1799999999998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CARLIN</v>
      </c>
      <c r="AA45" s="250">
        <v>1172</v>
      </c>
      <c r="AB45" s="250">
        <v>1172</v>
      </c>
      <c r="AC45" s="250">
        <f>AC44+AA45</f>
        <v>2392.1799999999998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BASSETT</v>
      </c>
      <c r="AA46" s="250">
        <v>1192.8</v>
      </c>
      <c r="AB46" s="250">
        <v>1192.8</v>
      </c>
      <c r="AC46" s="250">
        <f t="shared" ref="AC46:AC63" si="24">AC45+AA46</f>
        <v>3584.9799999999996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1077.4199999999998</v>
      </c>
      <c r="AN46" s="2">
        <f>AN47+AL46</f>
        <v>1172</v>
      </c>
      <c r="AP46" s="2">
        <f>AP47+AN46</f>
        <v>1192.8</v>
      </c>
      <c r="AR46" s="2">
        <f>AR47+AP46</f>
        <v>1269.8900000000001</v>
      </c>
      <c r="AS46" s="2"/>
      <c r="AU46" s="2">
        <f>AU47+AR46</f>
        <v>1274</v>
      </c>
      <c r="AW46" s="2">
        <f>AW47+AU46</f>
        <v>1416.76</v>
      </c>
      <c r="AX46" s="2"/>
      <c r="BG46" t="s">
        <v>218</v>
      </c>
    </row>
    <row r="47" spans="4:75" x14ac:dyDescent="0.25">
      <c r="Z47" s="253" t="str">
        <v>MCKEEVER</v>
      </c>
      <c r="AA47" s="250">
        <v>1269.8900000000001</v>
      </c>
      <c r="AB47" s="250">
        <v>1269.8900000000001</v>
      </c>
      <c r="AC47" s="250">
        <f t="shared" si="24"/>
        <v>4854.87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1077.4199999999998</v>
      </c>
      <c r="AN47" s="2">
        <f>MIN(AN48:AN67)</f>
        <v>94.580000000000155</v>
      </c>
      <c r="AP47" s="2">
        <f>MIN(AP48:AP67)</f>
        <v>20.799999999999955</v>
      </c>
      <c r="AR47" s="2">
        <f>MIN(AR48:AR67)</f>
        <v>77.090000000000146</v>
      </c>
      <c r="AS47" s="2"/>
      <c r="AU47" s="2">
        <f>MIN(AU48:AU67)</f>
        <v>4.1099999999999</v>
      </c>
      <c r="AW47" s="2">
        <f>MIN(AW48:AW67)</f>
        <v>142.76</v>
      </c>
      <c r="AX47" s="2"/>
    </row>
    <row r="48" spans="4:75" ht="37.5" x14ac:dyDescent="0.25">
      <c r="Z48" s="253" t="str">
        <v>GALLEN</v>
      </c>
      <c r="AA48" s="250">
        <v>1274</v>
      </c>
      <c r="AB48" s="250">
        <v>1274</v>
      </c>
      <c r="AC48" s="250">
        <f t="shared" si="24"/>
        <v>6128.87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BASSETT</v>
      </c>
      <c r="AK48" s="2">
        <f t="shared" si="25"/>
        <v>1192.8</v>
      </c>
      <c r="AL48">
        <f>IF(AK48&lt;&gt;0,AK48,1000000)</f>
        <v>1192.8</v>
      </c>
      <c r="AM48" s="2">
        <f t="shared" ref="AM48:AM67" si="26">AL48-AL$47</f>
        <v>115.38000000000011</v>
      </c>
      <c r="AN48">
        <f>IF(AM48&lt;&gt;0,AM48,1000000)</f>
        <v>115.38000000000011</v>
      </c>
      <c r="AO48" s="2">
        <f t="shared" ref="AO48:AO67" si="27">AN48-AN$47</f>
        <v>20.799999999999955</v>
      </c>
      <c r="AP48">
        <f t="shared" ref="AP48:AP67" si="28">IF(AO48&lt;&gt;0,AO48,1000000)</f>
        <v>20.799999999999955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999922.91</v>
      </c>
      <c r="AU48">
        <f t="shared" ref="AU48:AU67" si="32">IF(AT48&lt;&gt;0,AT48,1000000)</f>
        <v>999922.91</v>
      </c>
      <c r="AV48" s="2">
        <f t="shared" ref="AV48:AV67" si="33">AU48-AU$47</f>
        <v>999918.8</v>
      </c>
      <c r="AW48">
        <f t="shared" ref="AW48:AW67" si="34">IF(AV48&lt;&gt;0,AV48,1000000)</f>
        <v>999918.8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GUY</v>
      </c>
      <c r="AA49" s="250">
        <v>1274</v>
      </c>
      <c r="AB49" s="250">
        <v>1274</v>
      </c>
      <c r="AC49" s="250">
        <f t="shared" si="24"/>
        <v>7402.87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CARLIN</v>
      </c>
      <c r="AK49" s="2">
        <f t="shared" si="25"/>
        <v>1172</v>
      </c>
      <c r="AL49">
        <f t="shared" ref="AL49:AL67" si="35">IF(AK49&lt;&gt;0,AK49,1000000)</f>
        <v>1172</v>
      </c>
      <c r="AM49" s="2">
        <f t="shared" si="26"/>
        <v>94.580000000000155</v>
      </c>
      <c r="AN49">
        <f t="shared" ref="AN49:AN67" si="36">IF(AM49&lt;&gt;0,AM49,1000000)</f>
        <v>94.580000000000155</v>
      </c>
      <c r="AO49" s="2">
        <f t="shared" si="27"/>
        <v>0</v>
      </c>
      <c r="AP49">
        <f t="shared" si="28"/>
        <v>1000000</v>
      </c>
      <c r="AQ49" s="2">
        <f t="shared" si="29"/>
        <v>999979.2</v>
      </c>
      <c r="AR49">
        <f t="shared" si="30"/>
        <v>999979.2</v>
      </c>
      <c r="AT49" s="2">
        <f t="shared" si="31"/>
        <v>999902.11</v>
      </c>
      <c r="AU49">
        <f t="shared" si="32"/>
        <v>999902.11</v>
      </c>
      <c r="AV49" s="2">
        <f t="shared" si="33"/>
        <v>999898</v>
      </c>
      <c r="AW49">
        <f t="shared" si="34"/>
        <v>999898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BASSETT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HIGGINSON</v>
      </c>
      <c r="AA50" s="250">
        <v>1274</v>
      </c>
      <c r="AB50" s="250">
        <v>1274</v>
      </c>
      <c r="AC50" s="250">
        <f t="shared" si="24"/>
        <v>8676.869999999999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EATON</v>
      </c>
      <c r="AK50" s="2">
        <f t="shared" si="25"/>
        <v>1416.76</v>
      </c>
      <c r="AL50">
        <f t="shared" si="35"/>
        <v>1416.76</v>
      </c>
      <c r="AM50" s="2">
        <f t="shared" si="26"/>
        <v>339.34000000000015</v>
      </c>
      <c r="AN50">
        <f t="shared" si="36"/>
        <v>339.34000000000015</v>
      </c>
      <c r="AO50" s="2">
        <f t="shared" si="27"/>
        <v>244.76</v>
      </c>
      <c r="AP50">
        <f t="shared" si="28"/>
        <v>244.76</v>
      </c>
      <c r="AQ50" s="2">
        <f t="shared" si="29"/>
        <v>223.96000000000004</v>
      </c>
      <c r="AR50">
        <f t="shared" si="30"/>
        <v>223.96000000000004</v>
      </c>
      <c r="AT50" s="2">
        <f t="shared" si="31"/>
        <v>146.86999999999989</v>
      </c>
      <c r="AU50">
        <f t="shared" si="32"/>
        <v>146.86999999999989</v>
      </c>
      <c r="AV50" s="2">
        <f t="shared" si="33"/>
        <v>142.76</v>
      </c>
      <c r="AW50">
        <f t="shared" si="34"/>
        <v>142.76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CARLIN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EATON</v>
      </c>
      <c r="AA51" s="250">
        <v>1416.76</v>
      </c>
      <c r="AB51" s="250">
        <v>1416.76</v>
      </c>
      <c r="AC51" s="250">
        <f t="shared" si="24"/>
        <v>10093.629999999999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GALLEN</v>
      </c>
      <c r="AK51" s="2">
        <f t="shared" si="25"/>
        <v>1274</v>
      </c>
      <c r="AL51">
        <f t="shared" si="35"/>
        <v>1274</v>
      </c>
      <c r="AM51" s="2">
        <f t="shared" si="26"/>
        <v>196.58000000000015</v>
      </c>
      <c r="AN51">
        <f t="shared" si="36"/>
        <v>196.58000000000015</v>
      </c>
      <c r="AO51" s="2">
        <f t="shared" si="27"/>
        <v>102</v>
      </c>
      <c r="AP51">
        <f t="shared" si="28"/>
        <v>102</v>
      </c>
      <c r="AQ51" s="2">
        <f t="shared" si="29"/>
        <v>81.200000000000045</v>
      </c>
      <c r="AR51">
        <f t="shared" si="30"/>
        <v>81.200000000000045</v>
      </c>
      <c r="AT51" s="2">
        <f t="shared" si="31"/>
        <v>4.1099999999999</v>
      </c>
      <c r="AU51">
        <f t="shared" si="32"/>
        <v>4.1099999999999</v>
      </c>
      <c r="AV51" s="2">
        <f t="shared" si="33"/>
        <v>0</v>
      </c>
      <c r="AW51">
        <f t="shared" si="34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EATON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 t="str">
        <v>HAMLEY</v>
      </c>
      <c r="AA52" s="250">
        <v>0</v>
      </c>
      <c r="AB52" s="250">
        <v>1000000</v>
      </c>
      <c r="AC52" s="250">
        <f t="shared" si="24"/>
        <v>10093.629999999999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GUY</v>
      </c>
      <c r="AK52" s="2">
        <f t="shared" si="25"/>
        <v>1274</v>
      </c>
      <c r="AL52">
        <f t="shared" si="35"/>
        <v>1274</v>
      </c>
      <c r="AM52" s="2">
        <f t="shared" si="26"/>
        <v>196.58000000000015</v>
      </c>
      <c r="AN52">
        <f t="shared" si="36"/>
        <v>196.58000000000015</v>
      </c>
      <c r="AO52" s="2">
        <f t="shared" si="27"/>
        <v>102</v>
      </c>
      <c r="AP52">
        <f t="shared" si="28"/>
        <v>102</v>
      </c>
      <c r="AQ52" s="2">
        <f t="shared" si="29"/>
        <v>81.200000000000045</v>
      </c>
      <c r="AR52">
        <f t="shared" si="30"/>
        <v>81.200000000000045</v>
      </c>
      <c r="AT52" s="2">
        <f t="shared" si="31"/>
        <v>4.1099999999999</v>
      </c>
      <c r="AU52">
        <f t="shared" si="32"/>
        <v>4.1099999999999</v>
      </c>
      <c r="AV52" s="2">
        <f t="shared" si="33"/>
        <v>0</v>
      </c>
      <c r="AW52">
        <f t="shared" si="34"/>
        <v>1000000</v>
      </c>
      <c r="BE52" s="5">
        <f>IF($BH23="y",$BE23,IF($BH24="y",$BE24,0))</f>
        <v>0</v>
      </c>
      <c r="BG52" s="127" t="str">
        <f t="shared" si="37"/>
        <v>GALLEN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 t="str">
        <v>LEE</v>
      </c>
      <c r="AA53" s="250">
        <v>0</v>
      </c>
      <c r="AB53" s="250">
        <v>1000000</v>
      </c>
      <c r="AC53" s="250">
        <f t="shared" si="24"/>
        <v>10093.629999999999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HAMLEY</v>
      </c>
      <c r="AK53" s="2">
        <f t="shared" si="25"/>
        <v>0</v>
      </c>
      <c r="AL53">
        <f t="shared" si="35"/>
        <v>1000000</v>
      </c>
      <c r="AM53" s="2">
        <f t="shared" si="26"/>
        <v>998922.58</v>
      </c>
      <c r="AN53">
        <f t="shared" si="36"/>
        <v>998922.58</v>
      </c>
      <c r="AO53" s="2">
        <f t="shared" si="27"/>
        <v>998828</v>
      </c>
      <c r="AP53">
        <f t="shared" si="28"/>
        <v>998828</v>
      </c>
      <c r="AQ53" s="2">
        <f t="shared" si="29"/>
        <v>998807.2</v>
      </c>
      <c r="AR53">
        <f t="shared" si="30"/>
        <v>998807.2</v>
      </c>
      <c r="AT53" s="2">
        <f t="shared" si="31"/>
        <v>998730.11</v>
      </c>
      <c r="AU53">
        <f t="shared" si="32"/>
        <v>998730.11</v>
      </c>
      <c r="AV53" s="2">
        <f t="shared" si="33"/>
        <v>998726</v>
      </c>
      <c r="AW53">
        <f t="shared" si="34"/>
        <v>998726</v>
      </c>
      <c r="BG53" s="127" t="str">
        <f t="shared" si="37"/>
        <v>GUY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4"/>
        <v>10093.629999999999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HENDERSON</v>
      </c>
      <c r="AK54" s="2">
        <f t="shared" si="25"/>
        <v>1077.4199999999998</v>
      </c>
      <c r="AL54">
        <f t="shared" si="35"/>
        <v>1077.4199999999998</v>
      </c>
      <c r="AM54" s="2">
        <f t="shared" si="26"/>
        <v>0</v>
      </c>
      <c r="AN54">
        <f t="shared" si="36"/>
        <v>1000000</v>
      </c>
      <c r="AO54" s="2">
        <f t="shared" si="27"/>
        <v>999905.42</v>
      </c>
      <c r="AP54">
        <f t="shared" si="28"/>
        <v>999905.42</v>
      </c>
      <c r="AQ54" s="2">
        <f t="shared" si="29"/>
        <v>999884.62</v>
      </c>
      <c r="AR54">
        <f t="shared" si="30"/>
        <v>999884.62</v>
      </c>
      <c r="AT54" s="2">
        <f t="shared" si="31"/>
        <v>999807.53</v>
      </c>
      <c r="AU54">
        <f t="shared" si="32"/>
        <v>999807.53</v>
      </c>
      <c r="AV54" s="2">
        <f t="shared" si="33"/>
        <v>999803.42</v>
      </c>
      <c r="AW54">
        <f t="shared" si="34"/>
        <v>999803.42</v>
      </c>
      <c r="BG54" s="127" t="str">
        <f t="shared" si="37"/>
        <v>HAMLEY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4"/>
        <v>10093.629999999999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HIGGINSON</v>
      </c>
      <c r="AK55" s="2">
        <f t="shared" si="25"/>
        <v>1274</v>
      </c>
      <c r="AL55">
        <f t="shared" si="35"/>
        <v>1274</v>
      </c>
      <c r="AM55" s="2">
        <f t="shared" si="26"/>
        <v>196.58000000000015</v>
      </c>
      <c r="AN55">
        <f t="shared" si="36"/>
        <v>196.58000000000015</v>
      </c>
      <c r="AO55" s="2">
        <f t="shared" si="27"/>
        <v>102</v>
      </c>
      <c r="AP55">
        <f t="shared" si="28"/>
        <v>102</v>
      </c>
      <c r="AQ55" s="2">
        <f t="shared" si="29"/>
        <v>81.200000000000045</v>
      </c>
      <c r="AR55">
        <f t="shared" si="30"/>
        <v>81.200000000000045</v>
      </c>
      <c r="AT55" s="2">
        <f t="shared" si="31"/>
        <v>4.1099999999999</v>
      </c>
      <c r="AU55">
        <f t="shared" si="32"/>
        <v>4.1099999999999</v>
      </c>
      <c r="AV55" s="2">
        <f t="shared" si="33"/>
        <v>0</v>
      </c>
      <c r="AW55">
        <f t="shared" si="34"/>
        <v>1000000</v>
      </c>
      <c r="BG55" s="127" t="str">
        <f t="shared" si="37"/>
        <v>HENDERSON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10093.629999999999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5"/>
        <v>LEE</v>
      </c>
      <c r="AK56" s="2">
        <f t="shared" si="25"/>
        <v>0</v>
      </c>
      <c r="AL56">
        <f t="shared" si="35"/>
        <v>1000000</v>
      </c>
      <c r="AM56" s="2">
        <f t="shared" si="26"/>
        <v>998922.58</v>
      </c>
      <c r="AN56">
        <f t="shared" si="36"/>
        <v>998922.58</v>
      </c>
      <c r="AO56" s="2">
        <f t="shared" si="27"/>
        <v>998828</v>
      </c>
      <c r="AP56">
        <f t="shared" si="28"/>
        <v>998828</v>
      </c>
      <c r="AQ56" s="2">
        <f t="shared" si="29"/>
        <v>998807.2</v>
      </c>
      <c r="AR56">
        <f t="shared" si="30"/>
        <v>998807.2</v>
      </c>
      <c r="AT56" s="2">
        <f t="shared" si="31"/>
        <v>998730.11</v>
      </c>
      <c r="AU56">
        <f t="shared" si="32"/>
        <v>998730.11</v>
      </c>
      <c r="AV56" s="2">
        <f t="shared" si="33"/>
        <v>998726</v>
      </c>
      <c r="AW56">
        <f t="shared" si="34"/>
        <v>998726</v>
      </c>
      <c r="BG56" s="127" t="str">
        <f t="shared" si="37"/>
        <v>HIGGINSON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10093.629999999999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5"/>
        <v>MCKEEVER</v>
      </c>
      <c r="AK57" s="2">
        <f t="shared" si="25"/>
        <v>1269.8900000000001</v>
      </c>
      <c r="AL57">
        <f t="shared" si="35"/>
        <v>1269.8900000000001</v>
      </c>
      <c r="AM57" s="2">
        <f t="shared" si="26"/>
        <v>192.47000000000025</v>
      </c>
      <c r="AN57">
        <f t="shared" si="36"/>
        <v>192.47000000000025</v>
      </c>
      <c r="AO57" s="2">
        <f t="shared" si="27"/>
        <v>97.8900000000001</v>
      </c>
      <c r="AP57">
        <f t="shared" si="28"/>
        <v>97.8900000000001</v>
      </c>
      <c r="AQ57" s="2">
        <f t="shared" si="29"/>
        <v>77.090000000000146</v>
      </c>
      <c r="AR57">
        <f t="shared" si="30"/>
        <v>77.090000000000146</v>
      </c>
      <c r="AT57" s="2">
        <f t="shared" si="31"/>
        <v>0</v>
      </c>
      <c r="AU57">
        <f t="shared" si="32"/>
        <v>1000000</v>
      </c>
      <c r="AV57" s="2">
        <f t="shared" si="33"/>
        <v>999995.89</v>
      </c>
      <c r="AW57">
        <f t="shared" si="34"/>
        <v>999995.89</v>
      </c>
      <c r="BG57" s="127" t="str">
        <f t="shared" si="37"/>
        <v>LEE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10093.629999999999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5"/>
        <v>MILLER</v>
      </c>
      <c r="AK58" s="2">
        <f t="shared" si="25"/>
        <v>0</v>
      </c>
      <c r="AL58">
        <f t="shared" si="35"/>
        <v>1000000</v>
      </c>
      <c r="AM58" s="2">
        <f t="shared" si="26"/>
        <v>998922.58</v>
      </c>
      <c r="AN58">
        <f t="shared" si="36"/>
        <v>998922.58</v>
      </c>
      <c r="AO58" s="2">
        <f t="shared" si="27"/>
        <v>998828</v>
      </c>
      <c r="AP58">
        <f t="shared" si="28"/>
        <v>998828</v>
      </c>
      <c r="AQ58" s="2">
        <f t="shared" si="29"/>
        <v>998807.2</v>
      </c>
      <c r="AR58">
        <f t="shared" si="30"/>
        <v>998807.2</v>
      </c>
      <c r="AT58" s="2">
        <f t="shared" si="31"/>
        <v>998730.11</v>
      </c>
      <c r="AU58">
        <f t="shared" si="32"/>
        <v>998730.11</v>
      </c>
      <c r="AV58" s="2">
        <f t="shared" si="33"/>
        <v>998726</v>
      </c>
      <c r="AW58">
        <f t="shared" si="34"/>
        <v>998726</v>
      </c>
      <c r="BG58" s="127" t="str">
        <f t="shared" si="37"/>
        <v>MCKEEVER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10093.629999999999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5"/>
        <v>TRAYNOR</v>
      </c>
      <c r="AK59" s="2">
        <f t="shared" si="25"/>
        <v>0</v>
      </c>
      <c r="AL59">
        <f t="shared" si="35"/>
        <v>1000000</v>
      </c>
      <c r="AM59" s="2">
        <f t="shared" si="26"/>
        <v>998922.58</v>
      </c>
      <c r="AN59">
        <f t="shared" si="36"/>
        <v>998922.58</v>
      </c>
      <c r="AO59" s="2">
        <f t="shared" si="27"/>
        <v>998828</v>
      </c>
      <c r="AP59">
        <f t="shared" si="28"/>
        <v>998828</v>
      </c>
      <c r="AQ59" s="2">
        <f t="shared" si="29"/>
        <v>998807.2</v>
      </c>
      <c r="AR59">
        <f t="shared" si="30"/>
        <v>998807.2</v>
      </c>
      <c r="AT59" s="2">
        <f t="shared" si="31"/>
        <v>998730.11</v>
      </c>
      <c r="AU59">
        <f t="shared" si="32"/>
        <v>998730.11</v>
      </c>
      <c r="AV59" s="2">
        <f t="shared" si="33"/>
        <v>998726</v>
      </c>
      <c r="AW59">
        <f t="shared" si="34"/>
        <v>998726</v>
      </c>
      <c r="BG59" s="127" t="str">
        <f t="shared" si="37"/>
        <v>MILLER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10093.629999999999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998922.58</v>
      </c>
      <c r="AN60">
        <f t="shared" si="36"/>
        <v>998922.58</v>
      </c>
      <c r="AO60" s="2">
        <f t="shared" si="27"/>
        <v>998828</v>
      </c>
      <c r="AP60">
        <f t="shared" si="28"/>
        <v>998828</v>
      </c>
      <c r="AQ60" s="2">
        <f t="shared" si="29"/>
        <v>998807.2</v>
      </c>
      <c r="AR60">
        <f t="shared" si="30"/>
        <v>998807.2</v>
      </c>
      <c r="AT60" s="2">
        <f t="shared" si="31"/>
        <v>998730.11</v>
      </c>
      <c r="AU60">
        <f t="shared" si="32"/>
        <v>998730.11</v>
      </c>
      <c r="AV60" s="2">
        <f t="shared" si="33"/>
        <v>998726</v>
      </c>
      <c r="AW60">
        <f t="shared" si="34"/>
        <v>998726</v>
      </c>
      <c r="BG60" s="127" t="str">
        <f t="shared" si="37"/>
        <v>TRAYNOR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10093.629999999999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998922.58</v>
      </c>
      <c r="AN61">
        <f t="shared" si="36"/>
        <v>998922.58</v>
      </c>
      <c r="AO61" s="2">
        <f t="shared" si="27"/>
        <v>998828</v>
      </c>
      <c r="AP61">
        <f t="shared" si="28"/>
        <v>998828</v>
      </c>
      <c r="AQ61" s="2">
        <f t="shared" si="29"/>
        <v>998807.2</v>
      </c>
      <c r="AR61">
        <f t="shared" si="30"/>
        <v>998807.2</v>
      </c>
      <c r="AT61" s="2">
        <f t="shared" si="31"/>
        <v>998730.11</v>
      </c>
      <c r="AU61">
        <f t="shared" si="32"/>
        <v>998730.11</v>
      </c>
      <c r="AV61" s="2">
        <f t="shared" si="33"/>
        <v>998726</v>
      </c>
      <c r="AW61">
        <f t="shared" si="34"/>
        <v>998726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10093.629999999999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998922.58</v>
      </c>
      <c r="AN62">
        <f t="shared" si="36"/>
        <v>998922.58</v>
      </c>
      <c r="AO62" s="2">
        <f t="shared" si="27"/>
        <v>998828</v>
      </c>
      <c r="AP62">
        <f t="shared" si="28"/>
        <v>998828</v>
      </c>
      <c r="AQ62" s="2">
        <f t="shared" si="29"/>
        <v>998807.2</v>
      </c>
      <c r="AR62">
        <f t="shared" si="30"/>
        <v>998807.2</v>
      </c>
      <c r="AT62" s="2">
        <f t="shared" si="31"/>
        <v>998730.11</v>
      </c>
      <c r="AU62">
        <f t="shared" si="32"/>
        <v>998730.11</v>
      </c>
      <c r="AV62" s="2">
        <f t="shared" si="33"/>
        <v>998726</v>
      </c>
      <c r="AW62">
        <f t="shared" si="34"/>
        <v>998726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10093.629999999999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998922.58</v>
      </c>
      <c r="AN63">
        <f t="shared" si="36"/>
        <v>998922.58</v>
      </c>
      <c r="AO63" s="2">
        <f t="shared" si="27"/>
        <v>998828</v>
      </c>
      <c r="AP63">
        <f t="shared" si="28"/>
        <v>998828</v>
      </c>
      <c r="AQ63" s="2">
        <f t="shared" si="29"/>
        <v>998807.2</v>
      </c>
      <c r="AR63">
        <f t="shared" si="30"/>
        <v>998807.2</v>
      </c>
      <c r="AT63" s="2">
        <f t="shared" si="31"/>
        <v>998730.11</v>
      </c>
      <c r="AU63">
        <f t="shared" si="32"/>
        <v>998730.11</v>
      </c>
      <c r="AV63" s="2">
        <f t="shared" si="33"/>
        <v>998726</v>
      </c>
      <c r="AW63">
        <f t="shared" si="34"/>
        <v>998726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998922.58</v>
      </c>
      <c r="AN64">
        <f t="shared" si="36"/>
        <v>998922.58</v>
      </c>
      <c r="AO64" s="2">
        <f t="shared" si="27"/>
        <v>998828</v>
      </c>
      <c r="AP64">
        <f t="shared" si="28"/>
        <v>998828</v>
      </c>
      <c r="AQ64" s="2">
        <f t="shared" si="29"/>
        <v>998807.2</v>
      </c>
      <c r="AR64">
        <f t="shared" si="30"/>
        <v>998807.2</v>
      </c>
      <c r="AT64" s="2">
        <f t="shared" si="31"/>
        <v>998730.11</v>
      </c>
      <c r="AU64">
        <f t="shared" si="32"/>
        <v>998730.11</v>
      </c>
      <c r="AV64" s="2">
        <f t="shared" si="33"/>
        <v>998726</v>
      </c>
      <c r="AW64">
        <f t="shared" si="34"/>
        <v>998726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998922.58</v>
      </c>
      <c r="AN65">
        <f t="shared" si="36"/>
        <v>998922.58</v>
      </c>
      <c r="AO65" s="2">
        <f t="shared" si="27"/>
        <v>998828</v>
      </c>
      <c r="AP65">
        <f t="shared" si="28"/>
        <v>998828</v>
      </c>
      <c r="AQ65" s="2">
        <f t="shared" si="29"/>
        <v>998807.2</v>
      </c>
      <c r="AR65">
        <f t="shared" si="30"/>
        <v>998807.2</v>
      </c>
      <c r="AT65" s="2">
        <f t="shared" si="31"/>
        <v>998730.11</v>
      </c>
      <c r="AU65">
        <f t="shared" si="32"/>
        <v>998730.11</v>
      </c>
      <c r="AV65" s="2">
        <f t="shared" si="33"/>
        <v>998726</v>
      </c>
      <c r="AW65">
        <f t="shared" si="34"/>
        <v>998726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998922.58</v>
      </c>
      <c r="AN66">
        <f t="shared" si="36"/>
        <v>998922.58</v>
      </c>
      <c r="AO66" s="2">
        <f t="shared" si="27"/>
        <v>998828</v>
      </c>
      <c r="AP66">
        <f t="shared" si="28"/>
        <v>998828</v>
      </c>
      <c r="AQ66" s="2">
        <f t="shared" si="29"/>
        <v>998807.2</v>
      </c>
      <c r="AR66">
        <f t="shared" si="30"/>
        <v>998807.2</v>
      </c>
      <c r="AT66" s="2">
        <f t="shared" si="31"/>
        <v>998730.11</v>
      </c>
      <c r="AU66">
        <f t="shared" si="32"/>
        <v>998730.11</v>
      </c>
      <c r="AV66" s="2">
        <f t="shared" si="33"/>
        <v>998726</v>
      </c>
      <c r="AW66">
        <f t="shared" si="34"/>
        <v>998726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998922.58</v>
      </c>
      <c r="AN67">
        <f t="shared" si="36"/>
        <v>998922.58</v>
      </c>
      <c r="AO67" s="2">
        <f t="shared" si="27"/>
        <v>998828</v>
      </c>
      <c r="AP67">
        <f t="shared" si="28"/>
        <v>998828</v>
      </c>
      <c r="AQ67" s="2">
        <f t="shared" si="29"/>
        <v>998807.2</v>
      </c>
      <c r="AR67">
        <f t="shared" si="30"/>
        <v>998807.2</v>
      </c>
      <c r="AT67" s="2">
        <f t="shared" si="31"/>
        <v>998730.11</v>
      </c>
      <c r="AU67">
        <f t="shared" si="32"/>
        <v>998730.11</v>
      </c>
      <c r="AV67" s="2">
        <f t="shared" si="33"/>
        <v>998726</v>
      </c>
      <c r="AW67">
        <f t="shared" si="34"/>
        <v>998726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0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0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0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0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278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>E</v>
      </c>
      <c r="DB212" s="232" t="str">
        <f t="shared" ref="DB212:DD227" si="48">C12</f>
        <v>CARLIN</v>
      </c>
      <c r="DC212" s="232" t="str">
        <f t="shared" si="48"/>
        <v>Sinn Féin</v>
      </c>
      <c r="DD212" s="233">
        <f t="shared" si="48"/>
        <v>1204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>E</v>
      </c>
      <c r="DB213" s="232" t="str">
        <f t="shared" si="48"/>
        <v>EATON</v>
      </c>
      <c r="DC213" s="232" t="str">
        <f t="shared" si="48"/>
        <v>Alliance Party</v>
      </c>
      <c r="DD213" s="233">
        <f t="shared" si="48"/>
        <v>1116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</v>
      </c>
      <c r="DB214" s="232" t="str">
        <f t="shared" si="48"/>
        <v>GALLEN</v>
      </c>
      <c r="DC214" s="232" t="str">
        <f t="shared" si="48"/>
        <v>SDLP</v>
      </c>
      <c r="DD214" s="233">
        <f t="shared" si="48"/>
        <v>1035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</v>
      </c>
      <c r="DB215" s="232" t="str">
        <f t="shared" si="48"/>
        <v>GUY</v>
      </c>
      <c r="DC215" s="232" t="str">
        <f t="shared" si="48"/>
        <v>Alliance Party</v>
      </c>
      <c r="DD215" s="233">
        <f t="shared" si="48"/>
        <v>1452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Excluded</v>
      </c>
      <c r="DB216" s="232" t="str">
        <f t="shared" si="48"/>
        <v>HAMLEY</v>
      </c>
      <c r="DC216" s="232" t="str">
        <f t="shared" si="48"/>
        <v>Green Party NI</v>
      </c>
      <c r="DD216" s="233">
        <f t="shared" si="48"/>
        <v>656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/>
      </c>
      <c r="DB217" s="232" t="str">
        <f t="shared" si="48"/>
        <v>HENDERSON</v>
      </c>
      <c r="DC217" s="232" t="str">
        <f t="shared" si="48"/>
        <v>UUP</v>
      </c>
      <c r="DD217" s="233">
        <f t="shared" si="48"/>
        <v>760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>E</v>
      </c>
      <c r="DB218" s="232" t="str">
        <f t="shared" si="48"/>
        <v>HIGGINSON</v>
      </c>
      <c r="DC218" s="232" t="str">
        <f t="shared" si="48"/>
        <v>D.U.P.</v>
      </c>
      <c r="DD218" s="233">
        <f t="shared" si="48"/>
        <v>1006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>Excluded</v>
      </c>
      <c r="DB219" s="232" t="str">
        <f t="shared" si="48"/>
        <v>LEE</v>
      </c>
      <c r="DC219" s="232" t="str">
        <f t="shared" si="48"/>
        <v xml:space="preserve">SDLP </v>
      </c>
      <c r="DD219" s="233">
        <f t="shared" si="48"/>
        <v>656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/>
      </c>
      <c r="DB220" s="232" t="str">
        <f t="shared" si="48"/>
        <v>MCKEEVER</v>
      </c>
      <c r="DC220" s="232" t="str">
        <f t="shared" si="48"/>
        <v>Alliance Party</v>
      </c>
      <c r="DD220" s="233">
        <f t="shared" si="48"/>
        <v>727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>Excluded</v>
      </c>
      <c r="DB221" s="232" t="str">
        <f t="shared" si="48"/>
        <v>MILLER</v>
      </c>
      <c r="DC221" s="232" t="str">
        <f t="shared" si="48"/>
        <v>Independent</v>
      </c>
      <c r="DD221" s="233">
        <f t="shared" si="48"/>
        <v>49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>Excluded</v>
      </c>
      <c r="DB222" s="232" t="str">
        <f t="shared" si="48"/>
        <v>TRAYNOR</v>
      </c>
      <c r="DC222" s="232" t="str">
        <f t="shared" si="48"/>
        <v>D.U.P.</v>
      </c>
      <c r="DD222" s="233">
        <f t="shared" si="48"/>
        <v>527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127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  <mergeCell ref="F9:G9"/>
    <mergeCell ref="H9:I9"/>
    <mergeCell ref="J9:K9"/>
    <mergeCell ref="L9:M9"/>
    <mergeCell ref="V8:W8"/>
    <mergeCell ref="P8:Q8"/>
    <mergeCell ref="P7:Q7"/>
    <mergeCell ref="P6:Q6"/>
    <mergeCell ref="R8:S8"/>
    <mergeCell ref="R7:S7"/>
    <mergeCell ref="R6:S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K1:L1"/>
    <mergeCell ref="H3:I3"/>
    <mergeCell ref="O4:S4"/>
    <mergeCell ref="O3:S3"/>
    <mergeCell ref="H4:I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AO23:AP23"/>
    <mergeCell ref="AL28:AQ29"/>
    <mergeCell ref="AJ25:AK25"/>
    <mergeCell ref="AJ24:AK24"/>
    <mergeCell ref="AO24:AP24"/>
    <mergeCell ref="CB31:CE32"/>
    <mergeCell ref="AL31:AQ32"/>
    <mergeCell ref="BF30:BG32"/>
    <mergeCell ref="BI30:BK31"/>
    <mergeCell ref="BX30:BY32"/>
  </mergeCells>
  <phoneticPr fontId="0" type="noConversion"/>
  <conditionalFormatting sqref="V4:W4">
    <cfRule type="cellIs" dxfId="77" priority="1" stopIfTrue="1" operator="equal">
      <formula>"Totals Correct"</formula>
    </cfRule>
    <cfRule type="cellIs" dxfId="76" priority="2" stopIfTrue="1" operator="equal">
      <formula>"ERROR"</formula>
    </cfRule>
  </conditionalFormatting>
  <conditionalFormatting sqref="U4">
    <cfRule type="cellIs" dxfId="75" priority="3" stopIfTrue="1" operator="equal">
      <formula>"OK TO MOVE TO NEXT STAGE"</formula>
    </cfRule>
    <cfRule type="cellIs" dxfId="74" priority="4" stopIfTrue="1" operator="equal">
      <formula>"DO NOT MOVE TO NEXT STAGE"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4531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8.453125" customWidth="1"/>
    <col min="50" max="50" width="220.1796875" customWidth="1"/>
    <col min="51" max="51" width="5.17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6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279</v>
      </c>
      <c r="J1" s="85" t="s">
        <v>37</v>
      </c>
      <c r="K1" s="311">
        <f>'Basic Input'!C2</f>
        <v>45064</v>
      </c>
      <c r="L1" s="311"/>
      <c r="Z1" s="10" t="s">
        <v>280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281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279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282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283</v>
      </c>
      <c r="P4" s="338"/>
      <c r="Q4" s="338"/>
      <c r="R4" s="338"/>
      <c r="S4" s="339"/>
      <c r="U4" s="324" t="str">
        <f>IF(I79="ERROR","DO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IF(C57=0,0,IF(G57=0,"Excluded",0))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284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279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IF(C58=0,0,IF(G58=0,"Excluded",0))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166" t="str">
        <f>'Verification of Boxes'!J10</f>
        <v>BASSETT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167" t="str">
        <f>'Verification of Boxes'!J11</f>
        <v>CARLIN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167" t="str">
        <f>'Verification of Boxes'!J12</f>
        <v>EATON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167" t="str">
        <f>'Verification of Boxes'!J13</f>
        <v>GALLEN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167" t="str">
        <f>'Verification of Boxes'!J14</f>
        <v>GUY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HAMLEY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167" t="str">
        <f>'Verification of Boxes'!J16</f>
        <v>HENDERSON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HIGGINSON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 t="str">
        <f>'Verification of Boxes'!J18</f>
        <v>LEE</v>
      </c>
      <c r="AA22" s="37">
        <f t="shared" si="16"/>
        <v>0</v>
      </c>
      <c r="AB22" s="110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 t="str">
        <f>'Verification of Boxes'!J19</f>
        <v>MCKEEVER</v>
      </c>
      <c r="AA23" s="37">
        <f t="shared" si="16"/>
        <v>0</v>
      </c>
      <c r="AB23" s="110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 t="str">
        <f>'Verification of Boxes'!J20</f>
        <v>MILLER</v>
      </c>
      <c r="AA24" s="37">
        <f t="shared" si="16"/>
        <v>0</v>
      </c>
      <c r="AB24" s="110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 t="str">
        <f>'Verification of Boxes'!J21</f>
        <v>TRAYNOR</v>
      </c>
      <c r="AA25" s="37">
        <f t="shared" si="16"/>
        <v>0</v>
      </c>
      <c r="AB25" s="110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285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285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279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281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4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283</v>
      </c>
      <c r="P50" s="338"/>
      <c r="Q50" s="338"/>
      <c r="R50" s="338"/>
      <c r="S50" s="339"/>
      <c r="U50" s="324" t="str">
        <f>IF(I79="ERROR","DO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6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10'!A11&lt;&gt;0,'Stage 10'!A11,IF(I57&gt;=$M$3,"Elected",IF(BP8&lt;&gt;0,"Excluded",0)))</f>
        <v>0</v>
      </c>
      <c r="B57" s="235">
        <f>'Stage 10'!B11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10'!A12&lt;&gt;0,'Stage 10'!A12,IF(I58&gt;=$M$3,"Elected",IF(BP9&lt;&gt;0,"Excluded",0)))</f>
        <v>Elected</v>
      </c>
      <c r="B58" s="235">
        <f>'Stage 10'!B12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10'!A13&lt;&gt;0,'Stage 10'!A13,IF(I59&gt;=$M$3,"Elected",IF(BP10&lt;&gt;0,"Excluded",0)))</f>
        <v>Elected</v>
      </c>
      <c r="B59" s="235">
        <f>'Stage 10'!B13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Elected</v>
      </c>
      <c r="B60" s="235">
        <f>'Stage 10'!B14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Elected</v>
      </c>
      <c r="B61" s="235">
        <f>'Stage 10'!B15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10'!A16&lt;&gt;0,'Stage 10'!A16,IF(I62&gt;=$M$3,"Elected",IF(BP13&lt;&gt;0,"Excluded",0)))</f>
        <v>Excluded</v>
      </c>
      <c r="B62" s="235">
        <f>'Stage 10'!B16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10'!A17&lt;&gt;0,'Stage 10'!A17,IF(I63&gt;=$M$3,"Elected",IF(BP14&lt;&gt;0,"Excluded",0)))</f>
        <v>0</v>
      </c>
      <c r="B63" s="235">
        <f>'Stage 10'!B17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10'!A18&lt;&gt;0,'Stage 10'!A18,IF(I64&gt;=$M$3,"Elected",IF(BP15&lt;&gt;0,"Excluded",0)))</f>
        <v>Elected</v>
      </c>
      <c r="B64" s="235">
        <f>'Stage 10'!B18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10'!A19&lt;&gt;0,'Stage 10'!A19,IF(I65&gt;=$M$3,"Elected",IF(BP16&lt;&gt;0,"Excluded",0)))</f>
        <v>Excluded</v>
      </c>
      <c r="B65" s="235">
        <f>'Stage 10'!B19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10'!A21&lt;&gt;0,'Stage 10'!A21,IF(I67&gt;=$M$3,"Elected",IF(BP18&lt;&gt;0,"Excluded",0)))</f>
        <v>Excluded</v>
      </c>
      <c r="B67" s="235">
        <f>'Stage 10'!B21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10'!A22&lt;&gt;0,'Stage 10'!A22,IF(I68&gt;=$M$3,"Elected",IF(BP19&lt;&gt;0,"Excluded",0)))</f>
        <v>Excluded</v>
      </c>
      <c r="B68" s="235">
        <f>'Stage 10'!B22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294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</mergeCells>
  <phoneticPr fontId="0" type="noConversion"/>
  <conditionalFormatting sqref="AL3">
    <cfRule type="cellIs" dxfId="68" priority="1" stopIfTrue="1" operator="notEqual">
      <formula>0</formula>
    </cfRule>
  </conditionalFormatting>
  <conditionalFormatting sqref="BF30:BG31">
    <cfRule type="cellIs" dxfId="67" priority="2" stopIfTrue="1" operator="equal">
      <formula>"NONE"</formula>
    </cfRule>
    <cfRule type="cellIs" dxfId="66" priority="3" stopIfTrue="1" operator="notEqual">
      <formula>"NONE"</formula>
    </cfRule>
  </conditionalFormatting>
  <conditionalFormatting sqref="V50:W50 V4:W4">
    <cfRule type="cellIs" dxfId="65" priority="4" stopIfTrue="1" operator="equal">
      <formula>"Totals Correct"</formula>
    </cfRule>
    <cfRule type="cellIs" dxfId="64" priority="5" stopIfTrue="1" operator="equal">
      <formula>"ERROR"</formula>
    </cfRule>
  </conditionalFormatting>
  <conditionalFormatting sqref="U50 U4">
    <cfRule type="cellIs" dxfId="63" priority="6" stopIfTrue="1" operator="equal">
      <formula>"OK TO MOVE TO NEXT STAGE"</formula>
    </cfRule>
    <cfRule type="cellIs" dxfId="62" priority="7" stopIfTrue="1" operator="equal">
      <formula>"DO NOT MOVE TO NEXT STAGE"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1.81640625" customWidth="1"/>
    <col min="25" max="25" width="3.816406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26953125" customWidth="1"/>
    <col min="44" max="44" width="16.26953125" customWidth="1"/>
    <col min="45" max="45" width="221.453125" customWidth="1"/>
    <col min="50" max="50" width="228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287</v>
      </c>
      <c r="J1" s="85" t="s">
        <v>37</v>
      </c>
      <c r="K1" s="311">
        <f>'Basic Input'!C2</f>
        <v>45064</v>
      </c>
      <c r="L1" s="311"/>
      <c r="Z1" s="10" t="s">
        <v>295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296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287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297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298</v>
      </c>
      <c r="P4" s="338"/>
      <c r="Q4" s="338"/>
      <c r="R4" s="338"/>
      <c r="S4" s="339"/>
      <c r="U4" s="324" t="str">
        <f>IF(K79="ERROR","DO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IF(C57=0,0,IF(I57=0,"Excluded",0))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299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287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3" si="2">IF(C58=0,0,IF(I58=0,"Excluded",0))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11'!B57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11'!B58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11'!B59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11'!B60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11'!B61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11'!B62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11'!B63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11'!B64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11'!B65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11'!B67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11'!B68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7"/>
        <v>0</v>
      </c>
      <c r="AB22" s="5"/>
      <c r="AC22" s="100">
        <f t="shared" si="13"/>
        <v>0</v>
      </c>
      <c r="AD22" s="110"/>
      <c r="AE22" s="5" t="str">
        <f t="shared" si="16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7"/>
        <v>0</v>
      </c>
      <c r="AB23" s="5"/>
      <c r="AC23" s="100">
        <f t="shared" si="13"/>
        <v>0</v>
      </c>
      <c r="AD23" s="110"/>
      <c r="AE23" s="5" t="str">
        <f t="shared" si="16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7"/>
        <v>0</v>
      </c>
      <c r="AB24" s="5"/>
      <c r="AC24" s="100">
        <f t="shared" si="13"/>
        <v>0</v>
      </c>
      <c r="AD24" s="110"/>
      <c r="AE24" s="5" t="str">
        <f t="shared" si="16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7"/>
        <v>0</v>
      </c>
      <c r="AB25" s="5"/>
      <c r="AC25" s="100">
        <f t="shared" si="13"/>
        <v>0</v>
      </c>
      <c r="AD25" s="110"/>
      <c r="AE25" s="5" t="str">
        <f t="shared" si="16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300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300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287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296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19.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298</v>
      </c>
      <c r="P50" s="338"/>
      <c r="Q50" s="338"/>
      <c r="R50" s="338"/>
      <c r="S50" s="339"/>
      <c r="U50" s="324" t="str">
        <f>IF(K79="ERROR","DO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6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11'!A57&lt;&gt;0,'Stage 11'!A57,IF(K57&gt;=$M$3,"Elected",IF(BP8&lt;&gt;0,"Excluded",0)))</f>
        <v>0</v>
      </c>
      <c r="B57" s="235">
        <f>'Stage 11'!B57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11'!A58&lt;&gt;0,'Stage 11'!A58,IF(K58&gt;=$M$3,"Elected",IF(BP9&lt;&gt;0,"Excluded",0)))</f>
        <v>Elected</v>
      </c>
      <c r="B58" s="235">
        <f>'Stage 11'!B58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11'!A59&lt;&gt;0,'Stage 11'!A59,IF(K59&gt;=$M$3,"Elected",IF(BP10&lt;&gt;0,"Excluded",0)))</f>
        <v>Elected</v>
      </c>
      <c r="B59" s="235">
        <f>'Stage 11'!B59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Elected</v>
      </c>
      <c r="B60" s="235">
        <f>'Stage 11'!B60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Elected</v>
      </c>
      <c r="B61" s="235">
        <f>'Stage 11'!B61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11'!A62&lt;&gt;0,'Stage 11'!A62,IF(K62&gt;=$M$3,"Elected",IF(BP13&lt;&gt;0,"Excluded",0)))</f>
        <v>Excluded</v>
      </c>
      <c r="B62" s="235">
        <f>'Stage 11'!B62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11'!A63&lt;&gt;0,'Stage 11'!A63,IF(K63&gt;=$M$3,"Elected",IF(BP14&lt;&gt;0,"Excluded",0)))</f>
        <v>0</v>
      </c>
      <c r="B63" s="235">
        <f>'Stage 11'!B63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11'!A64&lt;&gt;0,'Stage 11'!A64,IF(K64&gt;=$M$3,"Elected",IF(BP15&lt;&gt;0,"Excluded",0)))</f>
        <v>Elected</v>
      </c>
      <c r="B64" s="235">
        <f>'Stage 11'!B64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11'!A65&lt;&gt;0,'Stage 11'!A65,IF(K65&gt;=$M$3,"Elected",IF(BP16&lt;&gt;0,"Excluded",0)))</f>
        <v>Excluded</v>
      </c>
      <c r="B65" s="235">
        <f>'Stage 11'!B65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11'!A67&lt;&gt;0,'Stage 11'!A67,IF(K67&gt;=$M$3,"Elected",IF(BP18&lt;&gt;0,"Excluded",0)))</f>
        <v>Excluded</v>
      </c>
      <c r="B67" s="235">
        <f>'Stage 11'!B67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11'!A68&lt;&gt;0,'Stage 11'!A68,IF(K68&gt;=$M$3,"Elected",IF(BP19&lt;&gt;0,"Excluded",0)))</f>
        <v>Excluded</v>
      </c>
      <c r="B68" s="235">
        <f>'Stage 11'!B68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301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</mergeCells>
  <phoneticPr fontId="0" type="noConversion"/>
  <conditionalFormatting sqref="AL3">
    <cfRule type="cellIs" dxfId="59" priority="1" stopIfTrue="1" operator="notEqual">
      <formula>0</formula>
    </cfRule>
  </conditionalFormatting>
  <conditionalFormatting sqref="BF30:BG31">
    <cfRule type="cellIs" dxfId="58" priority="2" stopIfTrue="1" operator="equal">
      <formula>"NONE"</formula>
    </cfRule>
    <cfRule type="cellIs" dxfId="57" priority="3" stopIfTrue="1" operator="notEqual">
      <formula>"NONE"</formula>
    </cfRule>
  </conditionalFormatting>
  <conditionalFormatting sqref="V50:W50 V4:W4">
    <cfRule type="cellIs" dxfId="56" priority="4" stopIfTrue="1" operator="equal">
      <formula>"Totals Correct"</formula>
    </cfRule>
    <cfRule type="cellIs" dxfId="55" priority="5" stopIfTrue="1" operator="equal">
      <formula>"ERROR"</formula>
    </cfRule>
  </conditionalFormatting>
  <conditionalFormatting sqref="U50 U4">
    <cfRule type="cellIs" dxfId="54" priority="6" stopIfTrue="1" operator="equal">
      <formula>"OK TO MOVE TO NEXT STAGE"</formula>
    </cfRule>
    <cfRule type="cellIs" dxfId="53" priority="7" stopIfTrue="1" operator="equal">
      <formula>"DO NOT MOVE TO NEXT STAGE"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3.453125" customWidth="1"/>
    <col min="25" max="25" width="5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9.7265625" customWidth="1"/>
    <col min="44" max="44" width="17.26953125" customWidth="1"/>
    <col min="45" max="45" width="228.81640625" customWidth="1"/>
    <col min="50" max="50" width="223.5429687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288</v>
      </c>
      <c r="J1" s="85" t="s">
        <v>37</v>
      </c>
      <c r="K1" s="311">
        <f>'Basic Input'!C2</f>
        <v>45064</v>
      </c>
      <c r="L1" s="311"/>
      <c r="Z1" s="10" t="s">
        <v>302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303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288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304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305</v>
      </c>
      <c r="P4" s="338"/>
      <c r="Q4" s="338"/>
      <c r="R4" s="338"/>
      <c r="S4" s="339"/>
      <c r="U4" s="324" t="str">
        <f>IF(M79="ERROR","DO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IF(C57=0,0,IF(K57=0,"Excluded",0))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306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288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IF(C58=0,0,IF(K58=0,"Excluded",0))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12'!B57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12'!B58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12'!B59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12'!B60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12'!B61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12'!B62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12'!B63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12'!B64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12'!B65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12'!B67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12'!B68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307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307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288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303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3.2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305</v>
      </c>
      <c r="P50" s="338"/>
      <c r="Q50" s="338"/>
      <c r="R50" s="338"/>
      <c r="S50" s="339"/>
      <c r="U50" s="324" t="str">
        <f>IF(M79="ERROR","DO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12'!A57&lt;&gt;0,'Stage 12'!A57,IF(M57&gt;=$M$3,"Elected",IF(BP8&lt;&gt;0,"Excluded",0)))</f>
        <v>0</v>
      </c>
      <c r="B57" s="235">
        <f>'Stage 12'!B57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12'!A58&lt;&gt;0,'Stage 12'!A58,IF(M58&gt;=$M$3,"Elected",IF(BP9&lt;&gt;0,"Excluded",0)))</f>
        <v>Elected</v>
      </c>
      <c r="B58" s="235">
        <f>'Stage 12'!B58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12'!A59&lt;&gt;0,'Stage 12'!A59,IF(M59&gt;=$M$3,"Elected",IF(BP10&lt;&gt;0,"Excluded",0)))</f>
        <v>Elected</v>
      </c>
      <c r="B59" s="235">
        <f>'Stage 12'!B59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Elected</v>
      </c>
      <c r="B60" s="235">
        <f>'Stage 12'!B60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Elected</v>
      </c>
      <c r="B61" s="235">
        <f>'Stage 12'!B61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12'!A62&lt;&gt;0,'Stage 12'!A62,IF(M62&gt;=$M$3,"Elected",IF(BP13&lt;&gt;0,"Excluded",0)))</f>
        <v>Excluded</v>
      </c>
      <c r="B62" s="235">
        <f>'Stage 12'!B62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12'!A63&lt;&gt;0,'Stage 12'!A63,IF(M63&gt;=$M$3,"Elected",IF(BP14&lt;&gt;0,"Excluded",0)))</f>
        <v>0</v>
      </c>
      <c r="B63" s="235">
        <f>'Stage 12'!B63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12'!A64&lt;&gt;0,'Stage 12'!A64,IF(M64&gt;=$M$3,"Elected",IF(BP15&lt;&gt;0,"Excluded",0)))</f>
        <v>Elected</v>
      </c>
      <c r="B64" s="235">
        <f>'Stage 12'!B64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12'!A65&lt;&gt;0,'Stage 12'!A65,IF(M65&gt;=$M$3,"Elected",IF(BP16&lt;&gt;0,"Excluded",0)))</f>
        <v>Excluded</v>
      </c>
      <c r="B65" s="235">
        <f>'Stage 12'!B65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12'!A67&lt;&gt;0,'Stage 12'!A67,IF(M67&gt;=$M$3,"Elected",IF(BP18&lt;&gt;0,"Excluded",0)))</f>
        <v>Excluded</v>
      </c>
      <c r="B67" s="235">
        <f>'Stage 12'!B67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12'!A68&lt;&gt;0,'Stage 12'!A68,IF(M68&gt;=$M$3,"Elected",IF(BP19&lt;&gt;0,"Excluded",0)))</f>
        <v>Excluded</v>
      </c>
      <c r="B68" s="235">
        <f>'Stage 12'!B68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308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</mergeCells>
  <phoneticPr fontId="0" type="noConversion"/>
  <conditionalFormatting sqref="AL3">
    <cfRule type="cellIs" dxfId="50" priority="1" stopIfTrue="1" operator="notEqual">
      <formula>0</formula>
    </cfRule>
  </conditionalFormatting>
  <conditionalFormatting sqref="BF30:BG31">
    <cfRule type="cellIs" dxfId="49" priority="2" stopIfTrue="1" operator="equal">
      <formula>"NONE"</formula>
    </cfRule>
    <cfRule type="cellIs" dxfId="48" priority="3" stopIfTrue="1" operator="notEqual">
      <formula>"NONE"</formula>
    </cfRule>
  </conditionalFormatting>
  <conditionalFormatting sqref="V50:W50 V4:W4">
    <cfRule type="cellIs" dxfId="47" priority="4" stopIfTrue="1" operator="equal">
      <formula>"Totals Correct"</formula>
    </cfRule>
    <cfRule type="cellIs" dxfId="46" priority="5" stopIfTrue="1" operator="equal">
      <formula>"ERROR"</formula>
    </cfRule>
  </conditionalFormatting>
  <conditionalFormatting sqref="U50 U4">
    <cfRule type="cellIs" dxfId="45" priority="6" stopIfTrue="1" operator="equal">
      <formula>"OK TO MOVE TO NEXT STAGE"</formula>
    </cfRule>
    <cfRule type="cellIs" dxfId="44" priority="7" stopIfTrue="1" operator="equal">
      <formula>"DO NOT MOVE TO NEXT STAGE"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9.816406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3" max="43" width="10" customWidth="1"/>
    <col min="44" max="44" width="16.26953125" customWidth="1"/>
    <col min="45" max="45" width="223.26953125" customWidth="1"/>
    <col min="50" max="50" width="225.269531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289</v>
      </c>
      <c r="J1" s="85" t="s">
        <v>37</v>
      </c>
      <c r="K1" s="311">
        <f>'Basic Input'!C2</f>
        <v>45064</v>
      </c>
      <c r="L1" s="311"/>
      <c r="Z1" s="10" t="s">
        <v>309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310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289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311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312</v>
      </c>
      <c r="P4" s="338"/>
      <c r="Q4" s="338"/>
      <c r="R4" s="338"/>
      <c r="S4" s="339"/>
      <c r="U4" s="324" t="str">
        <f>IF(O79="ERROR","DO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IF(C57=0,0,IF(M57=0,"Excluded",0))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313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289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IF(C58=0,0,IF(M58=0,"Excluded",0))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13'!B57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13'!B58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13'!B59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13'!B60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13'!B61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13'!B62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13'!B63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13'!B64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13'!B65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13'!B67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13'!B68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314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314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289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310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3.2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312</v>
      </c>
      <c r="P50" s="338"/>
      <c r="Q50" s="338"/>
      <c r="R50" s="338"/>
      <c r="S50" s="339"/>
      <c r="U50" s="324" t="str">
        <f>IF(O79="ERROR","DO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13'!A57&lt;&gt;0,'Stage 13'!A57,IF(O57&gt;=$M$3,"Elected",IF(BP8&lt;&gt;0,"Excluded",0)))</f>
        <v>0</v>
      </c>
      <c r="B57" s="235">
        <f>'Stage 13'!B57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13'!A58&lt;&gt;0,'Stage 13'!A58,IF(O58&gt;=$M$3,"Elected",IF(BP9&lt;&gt;0,"Excluded",0)))</f>
        <v>Elected</v>
      </c>
      <c r="B58" s="235">
        <f>'Stage 13'!B58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13'!A59&lt;&gt;0,'Stage 13'!A59,IF(O59&gt;=$M$3,"Elected",IF(BP10&lt;&gt;0,"Excluded",0)))</f>
        <v>Elected</v>
      </c>
      <c r="B59" s="235">
        <f>'Stage 13'!B59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Elected</v>
      </c>
      <c r="B60" s="235">
        <f>'Stage 13'!B60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Elected</v>
      </c>
      <c r="B61" s="235">
        <f>'Stage 13'!B61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13'!A62&lt;&gt;0,'Stage 13'!A62,IF(O62&gt;=$M$3,"Elected",IF(BP13&lt;&gt;0,"Excluded",0)))</f>
        <v>Excluded</v>
      </c>
      <c r="B62" s="235">
        <f>'Stage 13'!B62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13'!A63&lt;&gt;0,'Stage 13'!A63,IF(O63&gt;=$M$3,"Elected",IF(BP14&lt;&gt;0,"Excluded",0)))</f>
        <v>0</v>
      </c>
      <c r="B63" s="235">
        <f>'Stage 13'!B63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13'!A64&lt;&gt;0,'Stage 13'!A64,IF(O64&gt;=$M$3,"Elected",IF(BP15&lt;&gt;0,"Excluded",0)))</f>
        <v>Elected</v>
      </c>
      <c r="B64" s="235">
        <f>'Stage 13'!B64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13'!A65&lt;&gt;0,'Stage 13'!A65,IF(O65&gt;=$M$3,"Elected",IF(BP16&lt;&gt;0,"Excluded",0)))</f>
        <v>Excluded</v>
      </c>
      <c r="B65" s="235">
        <f>'Stage 13'!B65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13'!A67&lt;&gt;0,'Stage 13'!A67,IF(O67&gt;=$M$3,"Elected",IF(BP18&lt;&gt;0,"Excluded",0)))</f>
        <v>Excluded</v>
      </c>
      <c r="B67" s="235">
        <f>'Stage 13'!B67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13'!A68&lt;&gt;0,'Stage 13'!A68,IF(O68&gt;=$M$3,"Elected",IF(BP19&lt;&gt;0,"Excluded",0)))</f>
        <v>Excluded</v>
      </c>
      <c r="B68" s="235">
        <f>'Stage 13'!B68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315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</mergeCells>
  <phoneticPr fontId="0" type="noConversion"/>
  <conditionalFormatting sqref="AL3">
    <cfRule type="cellIs" dxfId="41" priority="1" stopIfTrue="1" operator="notEqual">
      <formula>0</formula>
    </cfRule>
  </conditionalFormatting>
  <conditionalFormatting sqref="BF30:BG31">
    <cfRule type="cellIs" dxfId="40" priority="2" stopIfTrue="1" operator="equal">
      <formula>"NONE"</formula>
    </cfRule>
    <cfRule type="cellIs" dxfId="39" priority="3" stopIfTrue="1" operator="notEqual">
      <formula>"NONE"</formula>
    </cfRule>
  </conditionalFormatting>
  <conditionalFormatting sqref="BX30">
    <cfRule type="cellIs" dxfId="38" priority="4" stopIfTrue="1" operator="equal">
      <formula>"Calculations OK"</formula>
    </cfRule>
    <cfRule type="cellIs" dxfId="37" priority="5" stopIfTrue="1" operator="equal">
      <formula>"Check Count for Error"</formula>
    </cfRule>
  </conditionalFormatting>
  <conditionalFormatting sqref="V50:W50 V4:W4">
    <cfRule type="cellIs" dxfId="36" priority="6" stopIfTrue="1" operator="equal">
      <formula>"Totals Correct"</formula>
    </cfRule>
    <cfRule type="cellIs" dxfId="35" priority="7" stopIfTrue="1" operator="equal">
      <formula>"ERROR"</formula>
    </cfRule>
  </conditionalFormatting>
  <conditionalFormatting sqref="U50 U4">
    <cfRule type="cellIs" dxfId="34" priority="8" stopIfTrue="1" operator="equal">
      <formula>"OK TO MOVE TO NEXT STAGE"</formula>
    </cfRule>
    <cfRule type="cellIs" dxfId="33" priority="9" stopIfTrue="1" operator="equal">
      <formula>"DO NOT MOVE TO NEXT STAGE"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.7265625" customWidth="1"/>
    <col min="44" max="44" width="16.81640625" customWidth="1"/>
    <col min="45" max="45" width="223" customWidth="1"/>
    <col min="50" max="50" width="223.81640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.2695312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290</v>
      </c>
      <c r="J1" s="85" t="s">
        <v>37</v>
      </c>
      <c r="K1" s="311">
        <f>'Basic Input'!C2</f>
        <v>45064</v>
      </c>
      <c r="L1" s="311"/>
      <c r="Z1" s="10" t="s">
        <v>316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317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290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318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319</v>
      </c>
      <c r="P4" s="338"/>
      <c r="Q4" s="338"/>
      <c r="R4" s="338"/>
      <c r="S4" s="339"/>
      <c r="U4" s="324" t="str">
        <f>IF(Q79="ERROR","DO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IF(C57=0,0,IF(O57=0,"Excluded",0))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320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290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IF(C58=0,0,IF(O58=0,"Excluded",0))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14'!B57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14'!B58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14'!B59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14'!B60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14'!B61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14'!B62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14'!B63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14'!B64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14'!B65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14'!B67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14'!B68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321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321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290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317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0.2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319</v>
      </c>
      <c r="P50" s="338"/>
      <c r="Q50" s="338"/>
      <c r="R50" s="338"/>
      <c r="S50" s="339"/>
      <c r="U50" s="324" t="str">
        <f>IF(Q79="ERROR","DO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14'!A57&lt;&gt;0,'Stage 14'!A57,IF(Q57&gt;=$M$3,"Elected",IF(BP8&lt;&gt;0,"Excluded",0)))</f>
        <v>0</v>
      </c>
      <c r="B57" s="235">
        <f>'Stage 14'!B57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14'!A58&lt;&gt;0,'Stage 14'!A58,IF(Q58&gt;=$M$3,"Elected",IF(BP9&lt;&gt;0,"Excluded",0)))</f>
        <v>Elected</v>
      </c>
      <c r="B58" s="235">
        <f>'Stage 14'!B58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14'!A59&lt;&gt;0,'Stage 14'!A59,IF(Q59&gt;=$M$3,"Elected",IF(BP10&lt;&gt;0,"Excluded",0)))</f>
        <v>Elected</v>
      </c>
      <c r="B59" s="235">
        <f>'Stage 14'!B59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Elected</v>
      </c>
      <c r="B60" s="235">
        <f>'Stage 14'!B60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Elected</v>
      </c>
      <c r="B61" s="235">
        <f>'Stage 14'!B61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14'!A62&lt;&gt;0,'Stage 14'!A62,IF(Q62&gt;=$M$3,"Elected",IF(BP13&lt;&gt;0,"Excluded",0)))</f>
        <v>Excluded</v>
      </c>
      <c r="B62" s="235">
        <f>'Stage 14'!B62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14'!A63&lt;&gt;0,'Stage 14'!A63,IF(Q63&gt;=$M$3,"Elected",IF(BP14&lt;&gt;0,"Excluded",0)))</f>
        <v>0</v>
      </c>
      <c r="B63" s="235">
        <f>'Stage 14'!B63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14'!A64&lt;&gt;0,'Stage 14'!A64,IF(Q64&gt;=$M$3,"Elected",IF(BP15&lt;&gt;0,"Excluded",0)))</f>
        <v>Elected</v>
      </c>
      <c r="B64" s="235">
        <f>'Stage 14'!B64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14'!A65&lt;&gt;0,'Stage 14'!A65,IF(Q65&gt;=$M$3,"Elected",IF(BP16&lt;&gt;0,"Excluded",0)))</f>
        <v>Excluded</v>
      </c>
      <c r="B65" s="235">
        <f>'Stage 14'!B65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14'!A67&lt;&gt;0,'Stage 14'!A67,IF(Q67&gt;=$M$3,"Elected",IF(BP18&lt;&gt;0,"Excluded",0)))</f>
        <v>Excluded</v>
      </c>
      <c r="B67" s="235">
        <f>'Stage 14'!B67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14'!A68&lt;&gt;0,'Stage 14'!A68,IF(Q68&gt;=$M$3,"Elected",IF(BP19&lt;&gt;0,"Excluded",0)))</f>
        <v>Excluded</v>
      </c>
      <c r="B68" s="235">
        <f>'Stage 14'!B68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322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32" priority="1" stopIfTrue="1" operator="notEqual">
      <formula>0</formula>
    </cfRule>
  </conditionalFormatting>
  <conditionalFormatting sqref="BF30:BG31">
    <cfRule type="cellIs" dxfId="31" priority="2" stopIfTrue="1" operator="equal">
      <formula>"NONE"</formula>
    </cfRule>
    <cfRule type="cellIs" dxfId="30" priority="3" stopIfTrue="1" operator="notEqual">
      <formula>"NONE"</formula>
    </cfRule>
  </conditionalFormatting>
  <conditionalFormatting sqref="BX30">
    <cfRule type="cellIs" dxfId="29" priority="4" stopIfTrue="1" operator="equal">
      <formula>"Calculations OK"</formula>
    </cfRule>
    <cfRule type="cellIs" dxfId="28" priority="5" stopIfTrue="1" operator="equal">
      <formula>"Check Count for Error"</formula>
    </cfRule>
  </conditionalFormatting>
  <conditionalFormatting sqref="V50:W50 V4:W4">
    <cfRule type="cellIs" dxfId="27" priority="6" stopIfTrue="1" operator="equal">
      <formula>"Totals Correct"</formula>
    </cfRule>
    <cfRule type="cellIs" dxfId="26" priority="7" stopIfTrue="1" operator="equal">
      <formula>"ERROR"</formula>
    </cfRule>
  </conditionalFormatting>
  <conditionalFormatting sqref="U50 U4">
    <cfRule type="cellIs" dxfId="25" priority="8" stopIfTrue="1" operator="equal">
      <formula>"OK TO MOVE TO NEXT STAGE"</formula>
    </cfRule>
    <cfRule type="cellIs" dxfId="24" priority="9" stopIfTrue="1" operator="equal">
      <formula>"DO NOT MOVE TO NEXT STAGE"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9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3" width="9.54296875" customWidth="1"/>
    <col min="44" max="44" width="16.26953125" customWidth="1"/>
    <col min="45" max="45" width="227.54296875" customWidth="1"/>
    <col min="50" max="50" width="22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17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291</v>
      </c>
      <c r="J1" s="85" t="s">
        <v>37</v>
      </c>
      <c r="K1" s="311">
        <f>'Basic Input'!C2</f>
        <v>45064</v>
      </c>
      <c r="L1" s="311"/>
      <c r="Z1" s="10" t="s">
        <v>323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324</v>
      </c>
      <c r="P2" s="338"/>
      <c r="Q2" s="338"/>
      <c r="R2" s="338"/>
      <c r="S2" s="339"/>
      <c r="U2" s="379"/>
      <c r="V2" s="379"/>
      <c r="W2" s="37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291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325</v>
      </c>
      <c r="P3" s="377"/>
      <c r="Q3" s="377"/>
      <c r="R3" s="377"/>
      <c r="S3" s="378"/>
      <c r="U3" s="379"/>
      <c r="V3" s="379"/>
      <c r="W3" s="379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326</v>
      </c>
      <c r="P4" s="338"/>
      <c r="Q4" s="338"/>
      <c r="R4" s="338"/>
      <c r="S4" s="339"/>
      <c r="U4" s="324" t="str">
        <f>IF(S79="ERROR","DO NOT MOVE TO NEXT STAGE","OK TO MOVE TO NEXT STAGE")</f>
        <v>DO NOT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IF(C57=0,0,IF(Q57=0,"Excluded",0))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327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291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IF(C58=0,0,IF(Q58=0,"Excluded",0))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15'!B57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15'!B58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15'!B59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15'!B60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15'!B61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15'!B62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15'!B63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15'!B64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15'!B65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15'!B67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15'!B68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328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328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291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324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1.7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326</v>
      </c>
      <c r="P50" s="338"/>
      <c r="Q50" s="338"/>
      <c r="R50" s="338"/>
      <c r="S50" s="339"/>
      <c r="U50" s="324" t="str">
        <f>IF(S79="ERROR","DO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15'!A57&lt;&gt;0,'Stage 15'!A57,IF(S57&gt;=$M$3,"Elected",IF(BP8&lt;&gt;0,"Excluded",0)))</f>
        <v>0</v>
      </c>
      <c r="B57" s="235">
        <f>'Stage 15'!B57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15'!A58&lt;&gt;0,'Stage 15'!A58,IF(S58&gt;=$M$3,"Elected",IF(BP9&lt;&gt;0,"Excluded",0)))</f>
        <v>Elected</v>
      </c>
      <c r="B58" s="235">
        <f>'Stage 15'!B58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15'!A59&lt;&gt;0,'Stage 15'!A59,IF(S59&gt;=$M$3,"Elected",IF(BP10&lt;&gt;0,"Excluded",0)))</f>
        <v>Elected</v>
      </c>
      <c r="B59" s="235">
        <f>'Stage 15'!B59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Elected</v>
      </c>
      <c r="B60" s="235">
        <f>'Stage 15'!B60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Elected</v>
      </c>
      <c r="B61" s="235">
        <f>'Stage 15'!B61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15'!A62&lt;&gt;0,'Stage 15'!A62,IF(S62&gt;=$M$3,"Elected",IF(BP13&lt;&gt;0,"Excluded",0)))</f>
        <v>Excluded</v>
      </c>
      <c r="B62" s="235">
        <f>'Stage 15'!B62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15'!A63&lt;&gt;0,'Stage 15'!A63,IF(S63&gt;=$M$3,"Elected",IF(BP14&lt;&gt;0,"Excluded",0)))</f>
        <v>0</v>
      </c>
      <c r="B63" s="235">
        <f>'Stage 15'!B63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15'!A64&lt;&gt;0,'Stage 15'!A64,IF(S64&gt;=$M$3,"Elected",IF(BP15&lt;&gt;0,"Excluded",0)))</f>
        <v>Elected</v>
      </c>
      <c r="B64" s="235">
        <f>'Stage 15'!B64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15'!A65&lt;&gt;0,'Stage 15'!A65,IF(S65&gt;=$M$3,"Elected",IF(BP16&lt;&gt;0,"Excluded",0)))</f>
        <v>Excluded</v>
      </c>
      <c r="B65" s="235">
        <f>'Stage 15'!B65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15'!A67&lt;&gt;0,'Stage 15'!A67,IF(S67&gt;=$M$3,"Elected",IF(BP18&lt;&gt;0,"Excluded",0)))</f>
        <v>Excluded</v>
      </c>
      <c r="B67" s="235">
        <f>'Stage 15'!B67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15'!A68&lt;&gt;0,'Stage 15'!A68,IF(S68&gt;=$M$3,"Elected",IF(BP19&lt;&gt;0,"Excluded",0)))</f>
        <v>Excluded</v>
      </c>
      <c r="B68" s="235">
        <f>'Stage 15'!B68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329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</mergeCells>
  <phoneticPr fontId="0" type="noConversion"/>
  <conditionalFormatting sqref="AL3">
    <cfRule type="cellIs" dxfId="23" priority="1" stopIfTrue="1" operator="notEqual">
      <formula>0</formula>
    </cfRule>
  </conditionalFormatting>
  <conditionalFormatting sqref="BF30:BG31">
    <cfRule type="cellIs" dxfId="22" priority="2" stopIfTrue="1" operator="equal">
      <formula>"NONE"</formula>
    </cfRule>
    <cfRule type="cellIs" dxfId="21" priority="3" stopIfTrue="1" operator="notEqual">
      <formula>"NONE"</formula>
    </cfRule>
  </conditionalFormatting>
  <conditionalFormatting sqref="BX30">
    <cfRule type="cellIs" dxfId="20" priority="4" stopIfTrue="1" operator="equal">
      <formula>"Calculations OK"</formula>
    </cfRule>
    <cfRule type="cellIs" dxfId="19" priority="5" stopIfTrue="1" operator="equal">
      <formula>"Check Count for Error"</formula>
    </cfRule>
  </conditionalFormatting>
  <conditionalFormatting sqref="V50:W50 V4:W4">
    <cfRule type="cellIs" dxfId="18" priority="6" stopIfTrue="1" operator="equal">
      <formula>"Totals Correct"</formula>
    </cfRule>
    <cfRule type="cellIs" dxfId="17" priority="7" stopIfTrue="1" operator="equal">
      <formula>"ERROR"</formula>
    </cfRule>
  </conditionalFormatting>
  <conditionalFormatting sqref="U50 U4">
    <cfRule type="cellIs" dxfId="16" priority="8" stopIfTrue="1" operator="equal">
      <formula>"OK TO MOVE TO NEXT STAGE"</formula>
    </cfRule>
    <cfRule type="cellIs" dxfId="15" priority="9" stopIfTrue="1" operator="equal">
      <formula>"DO NOT MOVE TO NEXT STAGE"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G50"/>
  <sheetViews>
    <sheetView showGridLines="0" topLeftCell="A6" zoomScale="75" workbookViewId="0">
      <selection activeCell="D35" sqref="D35"/>
    </sheetView>
  </sheetViews>
  <sheetFormatPr defaultRowHeight="12.5" x14ac:dyDescent="0.25"/>
  <cols>
    <col min="1" max="1" width="3.7265625" customWidth="1"/>
    <col min="2" max="2" width="28.8164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Castlereagh South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47</v>
      </c>
    </row>
    <row r="11" spans="2:59" x14ac:dyDescent="0.25">
      <c r="B11" s="64" t="s">
        <v>49</v>
      </c>
      <c r="C11" s="56" t="s">
        <v>50</v>
      </c>
    </row>
    <row r="12" spans="2:59" x14ac:dyDescent="0.25">
      <c r="B12" s="64" t="s">
        <v>51</v>
      </c>
      <c r="C12" s="56" t="s">
        <v>52</v>
      </c>
    </row>
    <row r="13" spans="2:59" x14ac:dyDescent="0.25">
      <c r="B13" s="56" t="s">
        <v>53</v>
      </c>
      <c r="C13" s="56" t="s">
        <v>50</v>
      </c>
    </row>
    <row r="14" spans="2:59" x14ac:dyDescent="0.25">
      <c r="B14" s="56" t="s">
        <v>54</v>
      </c>
      <c r="C14" s="56" t="s">
        <v>55</v>
      </c>
    </row>
    <row r="15" spans="2:59" x14ac:dyDescent="0.25">
      <c r="B15" s="56" t="s">
        <v>56</v>
      </c>
      <c r="C15" s="56" t="s">
        <v>57</v>
      </c>
    </row>
    <row r="16" spans="2:59" x14ac:dyDescent="0.25">
      <c r="B16" s="56" t="s">
        <v>58</v>
      </c>
      <c r="C16" s="56" t="s">
        <v>59</v>
      </c>
    </row>
    <row r="17" spans="2:4" x14ac:dyDescent="0.25">
      <c r="B17" s="80" t="s">
        <v>60</v>
      </c>
      <c r="C17" s="56" t="s">
        <v>61</v>
      </c>
    </row>
    <row r="18" spans="2:4" x14ac:dyDescent="0.25">
      <c r="B18" s="182" t="s">
        <v>62</v>
      </c>
      <c r="C18" s="56" t="s">
        <v>50</v>
      </c>
    </row>
    <row r="19" spans="2:4" x14ac:dyDescent="0.25">
      <c r="B19" s="64" t="s">
        <v>63</v>
      </c>
      <c r="C19" s="56" t="s">
        <v>64</v>
      </c>
    </row>
    <row r="20" spans="2:4" x14ac:dyDescent="0.25">
      <c r="B20" s="64" t="s">
        <v>65</v>
      </c>
      <c r="C20" s="56" t="s">
        <v>59</v>
      </c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66</v>
      </c>
      <c r="C30" s="56">
        <v>7</v>
      </c>
    </row>
    <row r="31" spans="2:4" x14ac:dyDescent="0.25">
      <c r="B31" t="s">
        <v>67</v>
      </c>
      <c r="C31" s="56">
        <v>18120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6.4531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0.54296875" customWidth="1"/>
    <col min="67" max="67" width="9.7265625" customWidth="1"/>
    <col min="68" max="68" width="7.179687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292</v>
      </c>
      <c r="J1" s="85" t="s">
        <v>37</v>
      </c>
      <c r="K1" s="311">
        <f>'Basic Input'!C2</f>
        <v>45064</v>
      </c>
      <c r="L1" s="311"/>
      <c r="Z1" s="10" t="s">
        <v>330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331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R2" s="36" t="s">
        <v>292</v>
      </c>
      <c r="CB2" s="337" t="s">
        <v>135</v>
      </c>
      <c r="CC2" s="338"/>
      <c r="CD2" s="338"/>
      <c r="CE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332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333</v>
      </c>
      <c r="P4" s="338"/>
      <c r="Q4" s="338"/>
      <c r="R4" s="338"/>
      <c r="S4" s="339"/>
      <c r="U4" s="324" t="str">
        <f>IF(U33="ERROR","DO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IF(C57=0,0,IF(S57=0,"Excluded",0))</f>
        <v>Excluded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334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292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IF(C58=0,0,IF(S58=0,"Excluded",0))</f>
        <v>Excluded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7">
        <f t="shared" ref="BO8:BO27" si="3">IF(AA14&gt;=$M$3,"Elected",AA14)</f>
        <v>0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7">
        <f t="shared" si="3"/>
        <v>0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7">
        <f t="shared" si="3"/>
        <v>0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16'!B57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16'!B58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16'!B59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7">
        <f t="shared" si="3"/>
        <v>0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16'!B60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7">
        <f t="shared" si="3"/>
        <v>0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16'!B61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0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16'!B62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16'!B63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 t="shared" si="12"/>
        <v>Elected</v>
      </c>
      <c r="B18" s="235">
        <f>'Stage 16'!B64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16'!B65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 t="shared" si="12"/>
        <v>Excluded</v>
      </c>
      <c r="B21" s="235">
        <f>'Stage 16'!B67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 t="shared" si="12"/>
        <v>Excluded</v>
      </c>
      <c r="B22" s="235">
        <f>'Stage 16'!B68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335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335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5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5" ht="18.5" thickBot="1" x14ac:dyDescent="0.45">
      <c r="A47" s="76" t="str">
        <f>'Verification of Boxes'!B1</f>
        <v>Local Council Elections 2023</v>
      </c>
      <c r="F47" s="10" t="s">
        <v>292</v>
      </c>
      <c r="J47" s="85" t="s">
        <v>37</v>
      </c>
      <c r="K47" s="311">
        <f>'Basic Input'!C2</f>
        <v>45064</v>
      </c>
      <c r="L47" s="311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331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1:75" ht="22.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37" t="s">
        <v>333</v>
      </c>
      <c r="P50" s="338"/>
      <c r="Q50" s="338"/>
      <c r="R50" s="338"/>
      <c r="S50" s="339"/>
      <c r="U50" s="324" t="str">
        <f>IF(U79="ERROR","DO NOT MOVE TO NEXT STAGE","OK TO MOVE TO NEXT STAGE")</f>
        <v>DO NOT MOVE TO NEXT STAGE</v>
      </c>
      <c r="V50" s="324"/>
      <c r="W50" s="324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>
        <f>IF('Stage 16'!A57&lt;&gt;0,'Stage 16'!A57,IF(U57&gt;=$M$3,"Elected",IF(BP8&lt;&gt;0,"Excluded",0)))</f>
        <v>0</v>
      </c>
      <c r="B57" s="235">
        <f>'Stage 16'!B57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16'!A58&lt;&gt;0,'Stage 16'!A58,IF(U58&gt;=$M$3,"Elected",IF(BP9&lt;&gt;0,"Excluded",0)))</f>
        <v>Elected</v>
      </c>
      <c r="B58" s="235">
        <f>'Stage 16'!B58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16'!A59&lt;&gt;0,'Stage 16'!A59,IF(U59&gt;=$M$3,"Elected",IF(BP10&lt;&gt;0,"Excluded",0)))</f>
        <v>Elected</v>
      </c>
      <c r="B59" s="235">
        <f>'Stage 16'!B59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Elected</v>
      </c>
      <c r="B60" s="235">
        <f>'Stage 16'!B60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Elected</v>
      </c>
      <c r="B61" s="235">
        <f>'Stage 16'!B61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16'!A62&lt;&gt;0,'Stage 16'!A62,IF(U62&gt;=$M$3,"Elected",IF(BP13&lt;&gt;0,"Excluded",0)))</f>
        <v>Excluded</v>
      </c>
      <c r="B62" s="235">
        <f>'Stage 16'!B62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>
        <f>IF('Stage 16'!A63&lt;&gt;0,'Stage 16'!A63,IF(U63&gt;=$M$3,"Elected",IF(BP14&lt;&gt;0,"Excluded",0)))</f>
        <v>0</v>
      </c>
      <c r="B63" s="235">
        <f>'Stage 16'!B63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 t="str">
        <f>IF('Stage 16'!A64&lt;&gt;0,'Stage 16'!A64,IF(U64&gt;=$M$3,"Elected",IF(BP15&lt;&gt;0,"Excluded",0)))</f>
        <v>Elected</v>
      </c>
      <c r="B64" s="235">
        <f>'Stage 16'!B64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16'!A65&lt;&gt;0,'Stage 16'!A65,IF(U65&gt;=$M$3,"Elected",IF(BP16&lt;&gt;0,"Excluded",0)))</f>
        <v>Excluded</v>
      </c>
      <c r="B65" s="235">
        <f>'Stage 16'!B65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 t="str">
        <f>IF('Stage 16'!A67&lt;&gt;0,'Stage 16'!A67,IF(U67&gt;=$M$3,"Elected",IF(BP18&lt;&gt;0,"Excluded",0)))</f>
        <v>Excluded</v>
      </c>
      <c r="B67" s="235">
        <f>'Stage 16'!B67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 t="str">
        <f>IF('Stage 16'!A68&lt;&gt;0,'Stage 16'!A68,IF(U68&gt;=$M$3,"Elected",IF(BP19&lt;&gt;0,"Excluded",0)))</f>
        <v>Excluded</v>
      </c>
      <c r="B68" s="235">
        <f>'Stage 16'!B68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225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336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</mergeCells>
  <phoneticPr fontId="0" type="noConversion"/>
  <conditionalFormatting sqref="AL3">
    <cfRule type="cellIs" dxfId="14" priority="1" stopIfTrue="1" operator="notEqual">
      <formula>0</formula>
    </cfRule>
  </conditionalFormatting>
  <conditionalFormatting sqref="BF30:BG31">
    <cfRule type="cellIs" dxfId="13" priority="2" stopIfTrue="1" operator="equal">
      <formula>"NONE"</formula>
    </cfRule>
    <cfRule type="cellIs" dxfId="12" priority="3" stopIfTrue="1" operator="notEqual">
      <formula>"NONE"</formula>
    </cfRule>
  </conditionalFormatting>
  <conditionalFormatting sqref="BX30">
    <cfRule type="cellIs" dxfId="11" priority="4" stopIfTrue="1" operator="equal">
      <formula>"Calculations OK"</formula>
    </cfRule>
    <cfRule type="cellIs" dxfId="10" priority="5" stopIfTrue="1" operator="equal">
      <formula>"Check Count for Error"</formula>
    </cfRule>
  </conditionalFormatting>
  <conditionalFormatting sqref="V50:W50 V4:W4">
    <cfRule type="cellIs" dxfId="9" priority="6" stopIfTrue="1" operator="equal">
      <formula>"Totals Correct"</formula>
    </cfRule>
    <cfRule type="cellIs" dxfId="8" priority="7" stopIfTrue="1" operator="equal">
      <formula>"ERROR"</formula>
    </cfRule>
  </conditionalFormatting>
  <conditionalFormatting sqref="U50 U4">
    <cfRule type="cellIs" dxfId="7" priority="8" stopIfTrue="1" operator="equal">
      <formula>"OK TO MOVE TO NEXT STAGE"</formula>
    </cfRule>
    <cfRule type="cellIs" dxfId="6" priority="9" stopIfTrue="1" operator="equal">
      <formula>"DO NOT MOVE TO NEXT STAGE"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4.8164062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9.54296875" customWidth="1"/>
    <col min="43" max="43" width="10.1796875" customWidth="1"/>
    <col min="44" max="44" width="15.7265625" customWidth="1"/>
    <col min="45" max="45" width="213.54296875" customWidth="1"/>
    <col min="50" max="50" width="219" customWidth="1"/>
    <col min="51" max="51" width="8.726562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21" customWidth="1"/>
    <col min="68" max="68" width="9.7265625" customWidth="1"/>
    <col min="69" max="69" width="7.1796875" customWidth="1"/>
    <col min="70" max="70" width="1.7265625" customWidth="1"/>
    <col min="71" max="71" width="24.81640625" customWidth="1"/>
    <col min="84" max="84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293</v>
      </c>
      <c r="J1" s="85" t="s">
        <v>37</v>
      </c>
      <c r="K1" s="311">
        <f>'Basic Input'!C2</f>
        <v>45064</v>
      </c>
      <c r="L1" s="311"/>
      <c r="Z1" s="10" t="s">
        <v>337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S1" s="10" t="s">
        <v>131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338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I2" s="306"/>
      <c r="BJ2" s="306"/>
      <c r="BK2" s="306"/>
      <c r="BS2" s="36" t="s">
        <v>293</v>
      </c>
      <c r="CC2" s="337" t="s">
        <v>135</v>
      </c>
      <c r="CD2" s="338"/>
      <c r="CE2" s="338"/>
      <c r="CF2" s="339"/>
    </row>
    <row r="3" spans="1:105" ht="18.5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76" t="s">
        <v>339</v>
      </c>
      <c r="P3" s="377"/>
      <c r="Q3" s="377"/>
      <c r="R3" s="377"/>
      <c r="S3" s="378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>
        <f>IF(AQ5="n","MOVE TO EXCLUDE CANDIDATE FORM",IF(AQ5="y","MOVE TO TRANSFER OF SURPLUS VOTES FORM",0))</f>
        <v>0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S3" s="81" t="s">
        <v>137</v>
      </c>
      <c r="BT3" s="82"/>
      <c r="BU3" s="340"/>
      <c r="BV3" s="341"/>
      <c r="BW3" s="341"/>
      <c r="BX3" s="341"/>
      <c r="BY3" s="341"/>
      <c r="BZ3" s="341"/>
      <c r="CA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79"/>
      <c r="P4" s="379"/>
      <c r="Q4" s="379"/>
      <c r="R4" s="379"/>
      <c r="S4" s="379"/>
      <c r="U4" s="383" t="str">
        <f>IF(W79="ERROR","DO NOT MOVE TO NEXT STAGE","SWITCH TO PAPER SYSTEM")</f>
        <v>DO NOT MOVE TO NEXT STAGE</v>
      </c>
      <c r="V4" s="383"/>
      <c r="W4" s="383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S4" t="s">
        <v>146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IF(A57&lt;&gt;0,A57,0)</f>
        <v>0</v>
      </c>
      <c r="BJ5" s="5" t="str">
        <f>IF(C57=0,0,IF(U57=0,"Excluded",0))</f>
        <v>Excluded</v>
      </c>
      <c r="BQ5" s="310" t="s">
        <v>150</v>
      </c>
      <c r="BS5" s="5"/>
      <c r="BT5" s="83" t="s">
        <v>151</v>
      </c>
      <c r="BU5" s="84"/>
      <c r="BV5" s="83" t="s">
        <v>152</v>
      </c>
      <c r="BW5" s="84"/>
      <c r="BX5" s="83" t="s">
        <v>153</v>
      </c>
      <c r="BY5" s="121"/>
      <c r="BZ5" s="83" t="s">
        <v>153</v>
      </c>
      <c r="CA5" s="121"/>
      <c r="CB5" s="83" t="s">
        <v>153</v>
      </c>
      <c r="CC5" s="121"/>
      <c r="CD5" s="83" t="s">
        <v>153</v>
      </c>
      <c r="CE5" s="121"/>
      <c r="CF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340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293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 t="str">
        <f t="shared" ref="BI6:BI24" si="1">IF(A58&lt;&gt;0,A58,0)</f>
        <v>Elected</v>
      </c>
      <c r="BJ6" s="5" t="str">
        <f t="shared" ref="BJ6:BJ24" si="2">IF(C58=0,0,IF(U58=0,"Excluded",0))</f>
        <v>Excluded</v>
      </c>
      <c r="BQ6" s="310"/>
      <c r="BS6" s="5"/>
      <c r="BT6" s="7" t="s">
        <v>158</v>
      </c>
      <c r="BU6" s="6">
        <v>1</v>
      </c>
      <c r="BV6" s="7" t="s">
        <v>158</v>
      </c>
      <c r="BW6" s="6">
        <v>1</v>
      </c>
      <c r="BX6" s="120" t="s">
        <v>158</v>
      </c>
      <c r="BY6" s="65"/>
      <c r="BZ6" s="122" t="s">
        <v>158</v>
      </c>
      <c r="CA6" s="65"/>
      <c r="CB6" s="122" t="s">
        <v>158</v>
      </c>
      <c r="CC6" s="65"/>
      <c r="CD6" s="122" t="s">
        <v>158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Transfer</v>
      </c>
      <c r="U7" s="362"/>
      <c r="V7" s="361">
        <f>'Stage 10'!V7:W7</f>
        <v>0</v>
      </c>
      <c r="W7" s="362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 t="str">
        <f t="shared" si="2"/>
        <v>Excluded</v>
      </c>
      <c r="BN7" t="s">
        <v>160</v>
      </c>
      <c r="BP7" s="3" t="s">
        <v>161</v>
      </c>
      <c r="BQ7" s="343"/>
      <c r="BS7" s="5" t="s">
        <v>162</v>
      </c>
      <c r="BT7" s="5" t="s">
        <v>163</v>
      </c>
      <c r="BU7" s="5" t="s">
        <v>153</v>
      </c>
      <c r="BV7" s="5" t="s">
        <v>163</v>
      </c>
      <c r="BW7" s="5" t="s">
        <v>153</v>
      </c>
      <c r="BX7" s="5" t="s">
        <v>163</v>
      </c>
      <c r="BY7" s="118" t="s">
        <v>153</v>
      </c>
      <c r="BZ7" s="5" t="s">
        <v>163</v>
      </c>
      <c r="CA7" s="118" t="s">
        <v>153</v>
      </c>
      <c r="CB7" s="5" t="s">
        <v>163</v>
      </c>
      <c r="CC7" s="118" t="s">
        <v>153</v>
      </c>
      <c r="CD7" s="5" t="s">
        <v>163</v>
      </c>
      <c r="CE7" s="118" t="s">
        <v>153</v>
      </c>
      <c r="CF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'Stage 6'!N8:O8</f>
        <v>Hamley</v>
      </c>
      <c r="O8" s="360"/>
      <c r="P8" s="359" t="str">
        <f>'Stage 7'!P8:Q8</f>
        <v>Lee</v>
      </c>
      <c r="Q8" s="360"/>
      <c r="R8" s="359" t="str">
        <f>'Stage 8'!R8:S8</f>
        <v>GALLEN</v>
      </c>
      <c r="S8" s="360"/>
      <c r="T8" s="359" t="str">
        <f>'Stage 9'!T8:U8</f>
        <v>CARLIN</v>
      </c>
      <c r="U8" s="360"/>
      <c r="V8" s="359">
        <f>'Stage 10'!V8:W8</f>
        <v>0</v>
      </c>
      <c r="W8" s="360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>
        <f>IF(A57&lt;&gt;0,A57,0)</f>
        <v>0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BASSETT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Elected</v>
      </c>
      <c r="BO9" s="5"/>
      <c r="BP9" s="7">
        <f t="shared" si="3"/>
        <v>0</v>
      </c>
      <c r="BQ9" s="66"/>
      <c r="BS9" s="9" t="str">
        <f>'Verification of Boxes'!J11</f>
        <v>CARLIN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 t="str">
        <f t="shared" si="2"/>
        <v>Excluded</v>
      </c>
      <c r="BM10" s="3"/>
      <c r="BN10" s="5" t="str">
        <f t="shared" si="11"/>
        <v>Elected</v>
      </c>
      <c r="BO10" s="5"/>
      <c r="BP10" s="7">
        <f t="shared" si="3"/>
        <v>0</v>
      </c>
      <c r="BQ10" s="66"/>
      <c r="BS10" s="9" t="str">
        <f>'Verification of Boxes'!J12</f>
        <v>EATON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>
        <f>A57</f>
        <v>0</v>
      </c>
      <c r="B11" s="235">
        <f>'Stage 17'!B57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>'Stage 6'!N11</f>
        <v>35.36</v>
      </c>
      <c r="O11" s="135">
        <f>'Stage 6'!O11</f>
        <v>1036.24</v>
      </c>
      <c r="P11" s="71">
        <f>'Stage 7'!P11</f>
        <v>59.36</v>
      </c>
      <c r="Q11" s="135">
        <f>'Stage 7'!Q11</f>
        <v>1095.5999999999999</v>
      </c>
      <c r="R11" s="71">
        <f>'Stage 8'!R11</f>
        <v>97.2</v>
      </c>
      <c r="S11" s="135">
        <f>'Stage 8'!S11</f>
        <v>1192.8</v>
      </c>
      <c r="T11" s="71">
        <f>'Stage 9'!T11</f>
        <v>0</v>
      </c>
      <c r="U11" s="135">
        <f>'Stage 9'!U11</f>
        <v>1192.8</v>
      </c>
      <c r="V11" s="71">
        <f>'Stage 10'!V11</f>
        <v>0</v>
      </c>
      <c r="W11" s="135">
        <f>'Stage 10'!W11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 t="str">
        <f t="shared" si="2"/>
        <v>Excluded</v>
      </c>
      <c r="BM11" s="3"/>
      <c r="BN11" s="5" t="str">
        <f t="shared" si="11"/>
        <v>Elected</v>
      </c>
      <c r="BO11" s="5"/>
      <c r="BP11" s="7">
        <f t="shared" si="3"/>
        <v>0</v>
      </c>
      <c r="BQ11" s="66"/>
      <c r="BS11" s="9" t="str">
        <f>'Verification of Boxes'!J13</f>
        <v>GALLEN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 t="str">
        <f t="shared" ref="A12:A30" si="12">A58</f>
        <v>Elected</v>
      </c>
      <c r="B12" s="235">
        <f>'Stage 17'!B58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>'Stage 6'!N12</f>
        <v>46</v>
      </c>
      <c r="O12" s="135">
        <f>'Stage 6'!O12</f>
        <v>1260.76</v>
      </c>
      <c r="P12" s="71">
        <f>'Stage 7'!P12</f>
        <v>54</v>
      </c>
      <c r="Q12" s="135">
        <f>'Stage 7'!Q12</f>
        <v>1314.76</v>
      </c>
      <c r="R12" s="71">
        <f>'Stage 8'!R12</f>
        <v>0</v>
      </c>
      <c r="S12" s="135">
        <f>'Stage 8'!S12</f>
        <v>1314.76</v>
      </c>
      <c r="T12" s="71">
        <f>'Stage 9'!T12</f>
        <v>-142.76</v>
      </c>
      <c r="U12" s="135">
        <f>'Stage 9'!U12</f>
        <v>1172</v>
      </c>
      <c r="V12" s="71">
        <f>'Stage 10'!V12</f>
        <v>0</v>
      </c>
      <c r="W12" s="135">
        <f>'Stage 10'!W12</f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 t="str">
        <f t="shared" si="2"/>
        <v>Excluded</v>
      </c>
      <c r="BM12" s="3"/>
      <c r="BN12" s="5" t="str">
        <f t="shared" si="11"/>
        <v>Elected</v>
      </c>
      <c r="BO12" s="5"/>
      <c r="BP12" s="7">
        <f t="shared" si="3"/>
        <v>0</v>
      </c>
      <c r="BQ12" s="66"/>
      <c r="BS12" s="9" t="str">
        <f>'Verification of Boxes'!J14</f>
        <v>GUY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 t="str">
        <f t="shared" si="12"/>
        <v>Elected</v>
      </c>
      <c r="B13" s="235">
        <f>'Stage 17'!B59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>'Stage 6'!N13</f>
        <v>228</v>
      </c>
      <c r="O13" s="135">
        <f>'Stage 6'!O13</f>
        <v>1416.76</v>
      </c>
      <c r="P13" s="71">
        <f>'Stage 7'!P13</f>
        <v>0</v>
      </c>
      <c r="Q13" s="135">
        <f>'Stage 7'!Q13</f>
        <v>1416.76</v>
      </c>
      <c r="R13" s="71">
        <f>'Stage 8'!R13</f>
        <v>0</v>
      </c>
      <c r="S13" s="135">
        <f>'Stage 8'!S13</f>
        <v>1416.76</v>
      </c>
      <c r="T13" s="71">
        <f>'Stage 9'!T13</f>
        <v>0</v>
      </c>
      <c r="U13" s="135">
        <f>'Stage 9'!U13</f>
        <v>1416.76</v>
      </c>
      <c r="V13" s="71">
        <f>'Stage 10'!V13</f>
        <v>0</v>
      </c>
      <c r="W13" s="135">
        <f>'Stage 10'!W13</f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Excluded</v>
      </c>
      <c r="BO13" s="5"/>
      <c r="BP13" s="7">
        <f t="shared" si="3"/>
        <v>0</v>
      </c>
      <c r="BQ13" s="66"/>
      <c r="BS13" s="9" t="str">
        <f>'Verification of Boxes'!J15</f>
        <v>HAMLEY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17'!B60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>'Stage 6'!N14</f>
        <v>100.96</v>
      </c>
      <c r="O14" s="135">
        <f>'Stage 6'!O14</f>
        <v>1147.1199999999999</v>
      </c>
      <c r="P14" s="71">
        <f>'Stage 7'!P14</f>
        <v>466</v>
      </c>
      <c r="Q14" s="135">
        <f>'Stage 7'!Q14</f>
        <v>1613.12</v>
      </c>
      <c r="R14" s="71">
        <f>'Stage 8'!R14</f>
        <v>-339.11999999999989</v>
      </c>
      <c r="S14" s="135">
        <f>'Stage 8'!S14</f>
        <v>1274</v>
      </c>
      <c r="T14" s="71">
        <f>'Stage 9'!T14</f>
        <v>0</v>
      </c>
      <c r="U14" s="135">
        <f>'Stage 9'!U14</f>
        <v>1274</v>
      </c>
      <c r="V14" s="71">
        <f>'Stage 10'!V14</f>
        <v>0</v>
      </c>
      <c r="W14" s="135">
        <f>'Stage 10'!W14</f>
        <v>0</v>
      </c>
      <c r="Z14" s="92" t="str">
        <f>'Verification of Boxes'!J10</f>
        <v>BASSETT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>
        <f t="shared" si="11"/>
        <v>0</v>
      </c>
      <c r="BO14" s="5"/>
      <c r="BP14" s="7">
        <f t="shared" si="3"/>
        <v>0</v>
      </c>
      <c r="BQ14" s="66"/>
      <c r="BS14" s="9" t="str">
        <f>'Verification of Boxes'!J16</f>
        <v>HENDERSON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17'!B61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>'Stage 6'!N15</f>
        <v>0</v>
      </c>
      <c r="O15" s="135">
        <f>'Stage 6'!O15</f>
        <v>1274</v>
      </c>
      <c r="P15" s="71">
        <f>'Stage 7'!P15</f>
        <v>0</v>
      </c>
      <c r="Q15" s="135">
        <f>'Stage 7'!Q15</f>
        <v>1274</v>
      </c>
      <c r="R15" s="71">
        <f>'Stage 8'!R15</f>
        <v>0</v>
      </c>
      <c r="S15" s="135">
        <f>'Stage 8'!S15</f>
        <v>1274</v>
      </c>
      <c r="T15" s="71">
        <f>'Stage 9'!T15</f>
        <v>0</v>
      </c>
      <c r="U15" s="135">
        <f>'Stage 9'!U15</f>
        <v>1274</v>
      </c>
      <c r="V15" s="71">
        <f>'Stage 10'!V15</f>
        <v>0</v>
      </c>
      <c r="W15" s="135">
        <f>'Stage 10'!W15</f>
        <v>0</v>
      </c>
      <c r="Z15" s="95" t="str">
        <f>'Verification of Boxes'!J11</f>
        <v>CARLIN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5"/>
      <c r="BP15" s="7">
        <f t="shared" si="3"/>
        <v>0</v>
      </c>
      <c r="BQ15" s="66"/>
      <c r="BS15" s="9" t="str">
        <f>'Verification of Boxes'!J17</f>
        <v>HIGGINSON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 t="str">
        <f t="shared" si="12"/>
        <v>Excluded</v>
      </c>
      <c r="B16" s="235">
        <f>'Stage 17'!B62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>'Stage 6'!N16</f>
        <v>-677.76</v>
      </c>
      <c r="O16" s="135">
        <f>'Stage 6'!O16</f>
        <v>0</v>
      </c>
      <c r="P16" s="71">
        <f>'Stage 7'!P16</f>
        <v>0</v>
      </c>
      <c r="Q16" s="135">
        <f>'Stage 7'!Q16</f>
        <v>0</v>
      </c>
      <c r="R16" s="71">
        <f>'Stage 8'!R16</f>
        <v>0</v>
      </c>
      <c r="S16" s="135">
        <f>'Stage 8'!S16</f>
        <v>0</v>
      </c>
      <c r="T16" s="71">
        <f>'Stage 9'!T16</f>
        <v>0</v>
      </c>
      <c r="U16" s="135">
        <f>'Stage 9'!U16</f>
        <v>0</v>
      </c>
      <c r="V16" s="71">
        <f>'Stage 10'!V16</f>
        <v>0</v>
      </c>
      <c r="W16" s="135">
        <f>'Stage 10'!W16</f>
        <v>0</v>
      </c>
      <c r="Z16" s="95" t="str">
        <f>'Verification of Boxes'!J12</f>
        <v>EATON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 t="str">
        <f t="shared" si="11"/>
        <v>Excluded</v>
      </c>
      <c r="BO16" s="5"/>
      <c r="BP16" s="7">
        <f t="shared" si="3"/>
        <v>0</v>
      </c>
      <c r="BQ16" s="66"/>
      <c r="BS16" s="9" t="str">
        <f>'Verification of Boxes'!J18</f>
        <v>LEE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>
        <f t="shared" si="12"/>
        <v>0</v>
      </c>
      <c r="B17" s="235">
        <f>'Stage 17'!B63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>'Stage 6'!N17</f>
        <v>37.4</v>
      </c>
      <c r="O17" s="135">
        <f>'Stage 6'!O17</f>
        <v>1039.08</v>
      </c>
      <c r="P17" s="71">
        <f>'Stage 7'!P17</f>
        <v>20.52</v>
      </c>
      <c r="Q17" s="135">
        <f>'Stage 7'!Q17</f>
        <v>1059.5999999999999</v>
      </c>
      <c r="R17" s="71">
        <f>'Stage 8'!R17</f>
        <v>17.82</v>
      </c>
      <c r="S17" s="135">
        <f>'Stage 8'!S17</f>
        <v>1077.4199999999998</v>
      </c>
      <c r="T17" s="71">
        <f>'Stage 9'!T17</f>
        <v>0</v>
      </c>
      <c r="U17" s="135">
        <f>'Stage 9'!U17</f>
        <v>1077.4199999999998</v>
      </c>
      <c r="V17" s="71">
        <f>'Stage 10'!V17</f>
        <v>0</v>
      </c>
      <c r="W17" s="135">
        <f>'Stage 10'!W17</f>
        <v>0</v>
      </c>
      <c r="Z17" s="95" t="str">
        <f>'Verification of Boxes'!J13</f>
        <v>GALLEN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 t="str">
        <f>'Verification of Boxes'!J19</f>
        <v>MCKEEVER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 t="str">
        <f t="shared" si="12"/>
        <v>Elected</v>
      </c>
      <c r="B18" s="235">
        <f>'Stage 17'!B64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>'Stage 6'!N18</f>
        <v>0</v>
      </c>
      <c r="O18" s="135">
        <f>'Stage 6'!O18</f>
        <v>1274</v>
      </c>
      <c r="P18" s="71">
        <f>'Stage 7'!P18</f>
        <v>0</v>
      </c>
      <c r="Q18" s="135">
        <f>'Stage 7'!Q18</f>
        <v>1274</v>
      </c>
      <c r="R18" s="71">
        <f>'Stage 8'!R18</f>
        <v>0</v>
      </c>
      <c r="S18" s="135">
        <f>'Stage 8'!S18</f>
        <v>1274</v>
      </c>
      <c r="T18" s="71">
        <f>'Stage 9'!T18</f>
        <v>0</v>
      </c>
      <c r="U18" s="135">
        <f>'Stage 9'!U18</f>
        <v>1274</v>
      </c>
      <c r="V18" s="71">
        <f>'Stage 10'!V18</f>
        <v>0</v>
      </c>
      <c r="W18" s="135">
        <f>'Stage 10'!W18</f>
        <v>0</v>
      </c>
      <c r="Z18" s="95" t="str">
        <f>'Verification of Boxes'!J14</f>
        <v>GUY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5"/>
      <c r="BP18" s="7">
        <f t="shared" si="3"/>
        <v>0</v>
      </c>
      <c r="BQ18" s="66"/>
      <c r="BS18" s="9" t="str">
        <f>'Verification of Boxes'!J20</f>
        <v>MILLER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 t="str">
        <f t="shared" si="12"/>
        <v>Excluded</v>
      </c>
      <c r="B19" s="235">
        <f>'Stage 17'!B65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>'Stage 6'!N19</f>
        <v>73.2</v>
      </c>
      <c r="O19" s="135">
        <f>'Stage 6'!O19</f>
        <v>761.6400000000001</v>
      </c>
      <c r="P19" s="71">
        <f>'Stage 7'!P19</f>
        <v>-761.6400000000001</v>
      </c>
      <c r="Q19" s="135">
        <f>'Stage 7'!Q19</f>
        <v>0</v>
      </c>
      <c r="R19" s="71">
        <f>'Stage 8'!R19</f>
        <v>0</v>
      </c>
      <c r="S19" s="135">
        <f>'Stage 8'!S19</f>
        <v>0</v>
      </c>
      <c r="T19" s="71">
        <f>'Stage 9'!T19</f>
        <v>0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HAMLEY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5"/>
      <c r="BP19" s="7">
        <f t="shared" si="3"/>
        <v>0</v>
      </c>
      <c r="BQ19" s="66"/>
      <c r="BS19" s="9" t="str">
        <f>'Verification of Boxes'!J21</f>
        <v>TRAYNOR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>'Stage 6'!N20</f>
        <v>123.92</v>
      </c>
      <c r="O20" s="135">
        <f>'Stage 6'!O20</f>
        <v>926.04</v>
      </c>
      <c r="P20" s="71">
        <f>'Stage 7'!P20</f>
        <v>122.72</v>
      </c>
      <c r="Q20" s="135">
        <f>'Stage 7'!Q20</f>
        <v>1048.76</v>
      </c>
      <c r="R20" s="71">
        <f>'Stage 8'!R20</f>
        <v>221.13000000000002</v>
      </c>
      <c r="S20" s="135">
        <f>'Stage 8'!S20</f>
        <v>1269.8900000000001</v>
      </c>
      <c r="T20" s="71">
        <f>'Stage 9'!T20</f>
        <v>0</v>
      </c>
      <c r="U20" s="135">
        <f>'Stage 9'!U20</f>
        <v>1269.8900000000001</v>
      </c>
      <c r="V20" s="71">
        <f>'Stage 10'!V20</f>
        <v>0</v>
      </c>
      <c r="W20" s="135">
        <f>'Stage 10'!W20</f>
        <v>0</v>
      </c>
      <c r="Z20" s="95" t="str">
        <f>'Verification of Boxes'!J16</f>
        <v>HENDERSON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44" t="s">
        <v>190</v>
      </c>
      <c r="AK20" s="345"/>
      <c r="AL20" s="142">
        <f>AL46</f>
        <v>1000000</v>
      </c>
      <c r="AM20" s="118"/>
      <c r="AN20" s="142">
        <f>AL20+AG2</f>
        <v>1000000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 t="str">
        <f t="shared" si="12"/>
        <v>Excluded</v>
      </c>
      <c r="B21" s="235">
        <f>'Stage 17'!B67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HIGGINSON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27" t="s">
        <v>191</v>
      </c>
      <c r="AK21" s="275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 t="str">
        <f t="shared" si="12"/>
        <v>Excluded</v>
      </c>
      <c r="B22" s="235">
        <f>'Stage 17'!B68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LEE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27" t="s">
        <v>191</v>
      </c>
      <c r="AK22" s="275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MCKEEVER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27" t="s">
        <v>191</v>
      </c>
      <c r="AK23" s="275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 t="str">
        <f>'Verification of Boxes'!J20</f>
        <v>MILLER</v>
      </c>
      <c r="AA24" s="37">
        <f t="shared" si="16"/>
        <v>0</v>
      </c>
      <c r="AB24" s="5"/>
      <c r="AC24" s="100">
        <f t="shared" si="13"/>
        <v>0</v>
      </c>
      <c r="AD24" s="110"/>
      <c r="AE24" s="5" t="str">
        <f t="shared" si="17"/>
        <v>excluded</v>
      </c>
      <c r="AF24" s="5">
        <f t="shared" si="14"/>
        <v>0</v>
      </c>
      <c r="AG24" s="96">
        <f t="shared" si="15"/>
        <v>0</v>
      </c>
      <c r="AJ24" s="327" t="s">
        <v>191</v>
      </c>
      <c r="AK24" s="275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 t="str">
        <f>'Verification of Boxes'!J21</f>
        <v>TRAYNOR</v>
      </c>
      <c r="AA25" s="37">
        <f t="shared" si="16"/>
        <v>0</v>
      </c>
      <c r="AB25" s="5"/>
      <c r="AC25" s="100">
        <f t="shared" si="13"/>
        <v>0</v>
      </c>
      <c r="AD25" s="110"/>
      <c r="AE25" s="5" t="str">
        <f t="shared" si="17"/>
        <v>excluded</v>
      </c>
      <c r="AF25" s="5">
        <f t="shared" si="14"/>
        <v>0</v>
      </c>
      <c r="AG25" s="96">
        <f t="shared" si="15"/>
        <v>0</v>
      </c>
      <c r="AJ25" s="325" t="s">
        <v>191</v>
      </c>
      <c r="AK25" s="32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127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55"/>
      <c r="AM29" s="356"/>
      <c r="AN29" s="356"/>
      <c r="AO29" s="356"/>
      <c r="AP29" s="356"/>
      <c r="AQ29" s="357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S29" s="5" t="s">
        <v>206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341</v>
      </c>
      <c r="BJ30" s="353"/>
      <c r="BK30" s="354"/>
      <c r="BY30" s="358" t="str">
        <f>IF(BX31=BX69,"Calculations OK","Check Count for Error")</f>
        <v>Calculations OK</v>
      </c>
      <c r="BZ30" s="358"/>
    </row>
    <row r="31" spans="1:84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'Stage 6'!N31</f>
        <v>32.92</v>
      </c>
      <c r="O31" s="135">
        <f>'Stage 6'!O31</f>
        <v>49.360000000000028</v>
      </c>
      <c r="P31" s="71">
        <f>'Stage 7'!P31</f>
        <v>39.040000000000006</v>
      </c>
      <c r="Q31" s="135">
        <f>'Stage 7'!Q31</f>
        <v>88.400000000000034</v>
      </c>
      <c r="R31" s="71">
        <f>'Stage 8'!R31</f>
        <v>2.9699999999998568</v>
      </c>
      <c r="S31" s="135">
        <f>'Stage 8'!S31</f>
        <v>91.369999999999891</v>
      </c>
      <c r="T31" s="71">
        <f>'Stage 9'!T31</f>
        <v>142.76</v>
      </c>
      <c r="U31" s="135">
        <f>'Stage 9'!U31</f>
        <v>234.12999999999988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W31" t="s">
        <v>123</v>
      </c>
      <c r="BX31" s="5">
        <f>BU29+BW29+BY29+CA29+CC29+CE29</f>
        <v>0</v>
      </c>
      <c r="BY31" s="324"/>
      <c r="BZ31" s="324"/>
      <c r="CA31" s="5">
        <f>BX69-BX31</f>
        <v>0</v>
      </c>
      <c r="CC31" s="352" t="s">
        <v>341</v>
      </c>
      <c r="CD31" s="353"/>
      <c r="CE31" s="353"/>
      <c r="CF31" s="354"/>
    </row>
    <row r="32" spans="1:84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135">
        <f>'Stage 6'!O32</f>
        <v>10185</v>
      </c>
      <c r="P32" s="192"/>
      <c r="Q32" s="135">
        <f>'Stage 7'!Q32</f>
        <v>10185</v>
      </c>
      <c r="R32" s="192"/>
      <c r="S32" s="135">
        <f>'Stage 8'!S32</f>
        <v>10185</v>
      </c>
      <c r="T32" s="192"/>
      <c r="U32" s="135">
        <f>'Stage 9'!U32</f>
        <v>10184.999999999998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55"/>
      <c r="AM32" s="356"/>
      <c r="AN32" s="356"/>
      <c r="AO32" s="356"/>
      <c r="AP32" s="356"/>
      <c r="AQ32" s="357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24"/>
      <c r="BG32" s="324"/>
      <c r="BY32" s="324"/>
      <c r="BZ32" s="324"/>
      <c r="CC32" s="355"/>
      <c r="CD32" s="356"/>
      <c r="CE32" s="356"/>
      <c r="CF32" s="357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Totals Correct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5">
        <f>'Stage 6'!O34</f>
        <v>0.83680555555555547</v>
      </c>
      <c r="P34" s="219"/>
      <c r="Q34" s="185">
        <f>'Stage 7'!Q34</f>
        <v>0.89583333333333337</v>
      </c>
      <c r="R34" s="219"/>
      <c r="S34" s="185">
        <f>'Stage 8'!S34</f>
        <v>0.9375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BASSETT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CARLIN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1:76" x14ac:dyDescent="0.25">
      <c r="Z46" s="253" t="str">
        <v>EATON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218</v>
      </c>
    </row>
    <row r="47" spans="1:76" ht="18.5" thickBot="1" x14ac:dyDescent="0.45">
      <c r="A47" s="76" t="str">
        <f>'Verification of Boxes'!B1</f>
        <v>Local Council Elections 2023</v>
      </c>
      <c r="F47" s="10" t="s">
        <v>293</v>
      </c>
      <c r="J47" s="85" t="s">
        <v>37</v>
      </c>
      <c r="K47" s="311">
        <f>'Basic Input'!C2</f>
        <v>45064</v>
      </c>
      <c r="L47" s="311"/>
      <c r="U47" s="8"/>
      <c r="Z47" s="253" t="str">
        <v>GALLEN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Castlereagh South</v>
      </c>
      <c r="O48" s="337" t="s">
        <v>338</v>
      </c>
      <c r="P48" s="338"/>
      <c r="Q48" s="338"/>
      <c r="R48" s="338"/>
      <c r="S48" s="339"/>
      <c r="Z48" s="253" t="str">
        <v>GUY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BASSETT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Q48" s="91"/>
      <c r="BX48" t="s">
        <v>224</v>
      </c>
    </row>
    <row r="49" spans="1:76" ht="22.5" customHeight="1" thickBot="1" x14ac:dyDescent="0.35">
      <c r="C49" s="3" t="s">
        <v>100</v>
      </c>
      <c r="D49" s="68">
        <f>'Verification of Boxes'!L2</f>
        <v>18120</v>
      </c>
      <c r="E49" s="312" t="s">
        <v>66</v>
      </c>
      <c r="F49" s="313"/>
      <c r="G49" s="131">
        <f>'Verification of Boxes'!G3</f>
        <v>7</v>
      </c>
      <c r="H49" s="312" t="s">
        <v>101</v>
      </c>
      <c r="I49" s="313"/>
      <c r="J49" s="131">
        <f>'Verification of Boxes'!L33</f>
        <v>95</v>
      </c>
      <c r="K49" s="312" t="s">
        <v>102</v>
      </c>
      <c r="L49" s="313"/>
      <c r="M49" s="131">
        <f>'Verification of Boxes'!G4</f>
        <v>1274</v>
      </c>
      <c r="O49" s="376" t="s">
        <v>286</v>
      </c>
      <c r="P49" s="377"/>
      <c r="Q49" s="377"/>
      <c r="R49" s="377"/>
      <c r="S49" s="378"/>
      <c r="Z49" s="253" t="str">
        <v>HAMLEY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CARLIN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BASSETT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103</v>
      </c>
      <c r="D50" s="131">
        <f>'Verification of Boxes'!L3</f>
        <v>10280</v>
      </c>
      <c r="E50" s="161" t="s">
        <v>104</v>
      </c>
      <c r="F50" s="160"/>
      <c r="G50" s="67">
        <f>D50-J49</f>
        <v>10185</v>
      </c>
      <c r="H50" s="161" t="s">
        <v>105</v>
      </c>
      <c r="I50" s="160"/>
      <c r="J50" s="132">
        <f>'Verification of Boxes'!L5</f>
        <v>56.732891832229583</v>
      </c>
      <c r="O50" s="379"/>
      <c r="P50" s="379"/>
      <c r="Q50" s="379"/>
      <c r="R50" s="379"/>
      <c r="S50" s="379"/>
      <c r="U50" s="383" t="str">
        <f>IF(W79="ERROR","DO NOT MOVE TO NEXT STAGE","SWITCH TO PAPER SYSTEM")</f>
        <v>DO NOT MOVE TO NEXT STAGE</v>
      </c>
      <c r="V50" s="383"/>
      <c r="W50" s="383"/>
      <c r="Z50" s="253" t="str">
        <v>HENDERSON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EATON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CARLIN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HIGGINSON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GALLEN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EATON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98</v>
      </c>
      <c r="F52" s="285" t="s">
        <v>115</v>
      </c>
      <c r="G52" s="287"/>
      <c r="H52" s="285" t="s">
        <v>279</v>
      </c>
      <c r="I52" s="287"/>
      <c r="J52" s="285" t="s">
        <v>287</v>
      </c>
      <c r="K52" s="287"/>
      <c r="L52" s="285" t="s">
        <v>288</v>
      </c>
      <c r="M52" s="287"/>
      <c r="N52" s="285" t="s">
        <v>289</v>
      </c>
      <c r="O52" s="287"/>
      <c r="P52" s="285" t="s">
        <v>290</v>
      </c>
      <c r="Q52" s="287"/>
      <c r="R52" s="285" t="s">
        <v>291</v>
      </c>
      <c r="S52" s="287"/>
      <c r="T52" s="285" t="s">
        <v>292</v>
      </c>
      <c r="U52" s="287"/>
      <c r="V52" s="285" t="s">
        <v>293</v>
      </c>
      <c r="W52" s="287"/>
      <c r="Z52" s="253" t="str">
        <v>LEE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GUY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GALLEN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 t="str">
        <v>MCKEEVER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HAMLEY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GUY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 t="str">
        <v>MILLER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HENDERSON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HAMLEY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5" t="s">
        <v>116</v>
      </c>
      <c r="G55" s="287"/>
      <c r="H55" s="285" t="s">
        <v>116</v>
      </c>
      <c r="I55" s="287"/>
      <c r="J55" s="285" t="s">
        <v>116</v>
      </c>
      <c r="K55" s="287"/>
      <c r="L55" s="285" t="s">
        <v>116</v>
      </c>
      <c r="M55" s="287"/>
      <c r="N55" s="285" t="s">
        <v>116</v>
      </c>
      <c r="O55" s="287"/>
      <c r="P55" s="285" t="s">
        <v>116</v>
      </c>
      <c r="Q55" s="287"/>
      <c r="R55" s="285" t="s">
        <v>116</v>
      </c>
      <c r="S55" s="287"/>
      <c r="T55" s="285" t="s">
        <v>116</v>
      </c>
      <c r="U55" s="287"/>
      <c r="V55" s="285" t="s">
        <v>116</v>
      </c>
      <c r="W55" s="287"/>
      <c r="Z55" s="253" t="str">
        <v>TRAYNOR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HIGGINSON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HENDERSON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117</v>
      </c>
      <c r="B56" s="18" t="s">
        <v>118</v>
      </c>
      <c r="C56" s="16" t="s">
        <v>119</v>
      </c>
      <c r="D56" s="32" t="s">
        <v>120</v>
      </c>
      <c r="E56" s="1" t="s">
        <v>121</v>
      </c>
      <c r="F56" s="115"/>
      <c r="G56" s="116" t="s">
        <v>87</v>
      </c>
      <c r="H56" s="136"/>
      <c r="I56" s="137" t="s">
        <v>87</v>
      </c>
      <c r="J56" s="134"/>
      <c r="K56" s="137" t="s">
        <v>87</v>
      </c>
      <c r="L56" s="134"/>
      <c r="M56" s="137" t="s">
        <v>87</v>
      </c>
      <c r="N56" s="136"/>
      <c r="O56" s="137" t="s">
        <v>87</v>
      </c>
      <c r="P56" s="136"/>
      <c r="Q56" s="137" t="s">
        <v>87</v>
      </c>
      <c r="R56" s="136"/>
      <c r="S56" s="137" t="s">
        <v>87</v>
      </c>
      <c r="T56" s="136"/>
      <c r="U56" s="137" t="s">
        <v>87</v>
      </c>
      <c r="V56" s="136"/>
      <c r="W56" s="137" t="s">
        <v>87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LEE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HIGGINSON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>
        <f>IF('Stage 17'!A57&lt;&gt;0,'Stage 17'!A57,IF(W57&gt;=$M$3,"Elected",IF(BQ8&lt;&gt;0,"Excluded",0)))</f>
        <v>0</v>
      </c>
      <c r="B57" s="235">
        <f>'Stage 17'!B57</f>
        <v>0</v>
      </c>
      <c r="C57" s="29" t="str">
        <f>'Verification of Boxes'!J10</f>
        <v>BASSETT</v>
      </c>
      <c r="D57" s="152" t="str">
        <f>'Verification of Boxes'!K10</f>
        <v>Sinn Féin</v>
      </c>
      <c r="E57" s="108">
        <f>'Verification of Boxes'!L10</f>
        <v>997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MCKEEVER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LEE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 t="str">
        <f>IF('Stage 17'!A58&lt;&gt;0,'Stage 17'!A58,IF(W58&gt;=$M$3,"Elected",IF(BQ9&lt;&gt;0,"Excluded",0)))</f>
        <v>Elected</v>
      </c>
      <c r="B58" s="235">
        <f>'Stage 17'!B58</f>
        <v>0</v>
      </c>
      <c r="C58" s="20" t="str">
        <f>'Verification of Boxes'!J11</f>
        <v>CARLIN</v>
      </c>
      <c r="D58" s="153" t="str">
        <f>'Verification of Boxes'!K11</f>
        <v>Sinn Féin</v>
      </c>
      <c r="E58" s="109">
        <f>'Verification of Boxes'!L11</f>
        <v>1204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4"/>
        <v>MILLER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MCKEEVER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 t="str">
        <f>IF('Stage 17'!A59&lt;&gt;0,'Stage 17'!A59,IF(W59&gt;=$M$3,"Elected",IF(BQ10&lt;&gt;0,"Excluded",0)))</f>
        <v>Elected</v>
      </c>
      <c r="B59" s="235">
        <f>'Stage 17'!B59</f>
        <v>0</v>
      </c>
      <c r="C59" s="20" t="str">
        <f>'Verification of Boxes'!J12</f>
        <v>EATON</v>
      </c>
      <c r="D59" s="153" t="str">
        <f>'Verification of Boxes'!K12</f>
        <v>Alliance Party</v>
      </c>
      <c r="E59" s="109">
        <f>'Verification of Boxes'!L12</f>
        <v>1116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4"/>
        <v>TRAYNOR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 t="str">
        <f t="shared" si="36"/>
        <v>MILLER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Elected</v>
      </c>
      <c r="B60" s="235">
        <f>'Stage 17'!B60</f>
        <v>0</v>
      </c>
      <c r="C60" s="20" t="str">
        <f>'Verification of Boxes'!J13</f>
        <v>GALLEN</v>
      </c>
      <c r="D60" s="153" t="str">
        <f>'Verification of Boxes'!K13</f>
        <v>SDLP</v>
      </c>
      <c r="E60" s="109">
        <f>'Verification of Boxes'!L13</f>
        <v>1035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 t="str">
        <f t="shared" si="36"/>
        <v>TRAYNOR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Elected</v>
      </c>
      <c r="B61" s="235">
        <f>'Stage 17'!B61</f>
        <v>0</v>
      </c>
      <c r="C61" s="20" t="str">
        <f>'Verification of Boxes'!J14</f>
        <v>GUY</v>
      </c>
      <c r="D61" s="153" t="str">
        <f>'Verification of Boxes'!K14</f>
        <v>Alliance Party</v>
      </c>
      <c r="E61" s="109">
        <f>'Verification of Boxes'!L14</f>
        <v>1452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 t="str">
        <f>IF('Stage 17'!A62&lt;&gt;0,'Stage 17'!A62,IF(W62&gt;=$M$3,"Elected",IF(BQ13&lt;&gt;0,"Excluded",0)))</f>
        <v>Excluded</v>
      </c>
      <c r="B62" s="235">
        <f>'Stage 17'!B62</f>
        <v>0</v>
      </c>
      <c r="C62" s="20" t="str">
        <f>'Verification of Boxes'!J15</f>
        <v>HAMLEY</v>
      </c>
      <c r="D62" s="153" t="str">
        <f>'Verification of Boxes'!K15</f>
        <v>Green Party NI</v>
      </c>
      <c r="E62" s="109">
        <f>'Verification of Boxes'!L15</f>
        <v>656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>
        <f>IF('Stage 17'!A63&lt;&gt;0,'Stage 17'!A63,IF(W63&gt;=$M$3,"Elected",IF(BQ14&lt;&gt;0,"Excluded",0)))</f>
        <v>0</v>
      </c>
      <c r="B63" s="235">
        <f>'Stage 17'!B63</f>
        <v>0</v>
      </c>
      <c r="C63" s="20" t="str">
        <f>'Verification of Boxes'!J16</f>
        <v>HENDERSON</v>
      </c>
      <c r="D63" s="153" t="str">
        <f>'Verification of Boxes'!K16</f>
        <v>UUP</v>
      </c>
      <c r="E63" s="109">
        <f>'Verification of Boxes'!L16</f>
        <v>760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 t="str">
        <f>IF('Stage 17'!A64&lt;&gt;0,'Stage 17'!A64,IF(W64&gt;=$M$3,"Elected",IF(BQ15&lt;&gt;0,"Excluded",0)))</f>
        <v>Elected</v>
      </c>
      <c r="B64" s="235">
        <f>'Stage 17'!B64</f>
        <v>0</v>
      </c>
      <c r="C64" s="20" t="str">
        <f>'Verification of Boxes'!J17</f>
        <v>HIGGINSON</v>
      </c>
      <c r="D64" s="153" t="str">
        <f>'Verification of Boxes'!K17</f>
        <v>D.U.P.</v>
      </c>
      <c r="E64" s="109">
        <f>'Verification of Boxes'!L17</f>
        <v>1006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 t="str">
        <f>IF('Stage 17'!A65&lt;&gt;0,'Stage 17'!A65,IF(W65&gt;=$M$3,"Elected",IF(BQ16&lt;&gt;0,"Excluded",0)))</f>
        <v>Excluded</v>
      </c>
      <c r="B65" s="235">
        <f>'Stage 17'!B65</f>
        <v>0</v>
      </c>
      <c r="C65" s="20" t="str">
        <f>'Verification of Boxes'!J18</f>
        <v>LEE</v>
      </c>
      <c r="D65" s="153" t="str">
        <f>'Verification of Boxes'!K18</f>
        <v xml:space="preserve">SDLP </v>
      </c>
      <c r="E65" s="109">
        <f>'Verification of Boxes'!L18</f>
        <v>656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0</v>
      </c>
      <c r="C66" s="20" t="str">
        <f>'Verification of Boxes'!J19</f>
        <v>MCKEEVER</v>
      </c>
      <c r="D66" s="153" t="str">
        <f>'Verification of Boxes'!K19</f>
        <v>Alliance Party</v>
      </c>
      <c r="E66" s="109">
        <f>'Verification of Boxes'!L19</f>
        <v>727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 t="str">
        <f>IF('Stage 17'!A67&lt;&gt;0,'Stage 17'!A67,IF(W67&gt;=$M$3,"Elected",IF(BQ18&lt;&gt;0,"Excluded",0)))</f>
        <v>Excluded</v>
      </c>
      <c r="B67" s="235">
        <f>'Stage 17'!B67</f>
        <v>0</v>
      </c>
      <c r="C67" s="20" t="str">
        <f>'Verification of Boxes'!J20</f>
        <v>MILLER</v>
      </c>
      <c r="D67" s="153" t="str">
        <f>'Verification of Boxes'!K20</f>
        <v>Independent</v>
      </c>
      <c r="E67" s="109">
        <f>'Verification of Boxes'!L20</f>
        <v>49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 t="str">
        <f>IF('Stage 17'!A68&lt;&gt;0,'Stage 17'!A68,IF(W68&gt;=$M$3,"Elected",IF(BQ19&lt;&gt;0,"Excluded",0)))</f>
        <v>Excluded</v>
      </c>
      <c r="B68" s="235">
        <f>'Stage 17'!B68</f>
        <v>0</v>
      </c>
      <c r="C68" s="20" t="str">
        <f>'Verification of Boxes'!J21</f>
        <v>TRAYNOR</v>
      </c>
      <c r="D68" s="153" t="str">
        <f>'Verification of Boxes'!K21</f>
        <v>D.U.P.</v>
      </c>
      <c r="E68" s="109">
        <f>'Verification of Boxes'!L21</f>
        <v>527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225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122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123</v>
      </c>
      <c r="E78" s="45">
        <f>SUM(E57:E76)</f>
        <v>10185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124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0" t="s">
        <v>342</v>
      </c>
      <c r="B122" s="381"/>
      <c r="C122" s="381"/>
      <c r="D122" s="381"/>
      <c r="E122" s="381"/>
      <c r="F122" s="381"/>
      <c r="G122" s="381"/>
      <c r="H122" s="381"/>
      <c r="I122" s="381"/>
      <c r="J122" s="381"/>
      <c r="K122" s="382"/>
    </row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343</v>
      </c>
      <c r="DF210" s="231" t="s">
        <v>227</v>
      </c>
    </row>
    <row r="211" spans="105:110" ht="15.5" x14ac:dyDescent="0.35">
      <c r="DA211" s="232" t="str">
        <f>IF(A57="Elected","E",IF(A57="Excluded","Excluded",""))&amp;IF(B57&gt;0,B57,"")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</v>
      </c>
      <c r="DB212" s="232" t="str">
        <f t="shared" ref="DB212:DD227" si="49">C12</f>
        <v>CARLIN</v>
      </c>
      <c r="DC212" s="232" t="str">
        <f t="shared" si="49"/>
        <v>Sinn Féin</v>
      </c>
      <c r="DD212" s="233">
        <f t="shared" si="49"/>
        <v>1204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</v>
      </c>
      <c r="DB213" s="232" t="str">
        <f t="shared" si="49"/>
        <v>EATON</v>
      </c>
      <c r="DC213" s="232" t="str">
        <f t="shared" si="49"/>
        <v>Alliance Party</v>
      </c>
      <c r="DD213" s="233">
        <f t="shared" si="49"/>
        <v>1116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</v>
      </c>
      <c r="DB214" s="232" t="str">
        <f t="shared" si="49"/>
        <v>GALLEN</v>
      </c>
      <c r="DC214" s="232" t="str">
        <f t="shared" si="49"/>
        <v>SDLP</v>
      </c>
      <c r="DD214" s="233">
        <f t="shared" si="49"/>
        <v>1035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</v>
      </c>
      <c r="DB215" s="232" t="str">
        <f t="shared" si="49"/>
        <v>GUY</v>
      </c>
      <c r="DC215" s="232" t="str">
        <f t="shared" si="49"/>
        <v>Alliance Party</v>
      </c>
      <c r="DD215" s="233">
        <f t="shared" si="49"/>
        <v>1452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Excluded</v>
      </c>
      <c r="DB216" s="232" t="str">
        <f t="shared" si="49"/>
        <v>HAMLEY</v>
      </c>
      <c r="DC216" s="232" t="str">
        <f t="shared" si="49"/>
        <v>Green Party NI</v>
      </c>
      <c r="DD216" s="233">
        <f t="shared" si="49"/>
        <v>656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/>
      </c>
      <c r="DB217" s="232" t="str">
        <f t="shared" si="49"/>
        <v>HENDERSON</v>
      </c>
      <c r="DC217" s="232" t="str">
        <f t="shared" si="49"/>
        <v>UUP</v>
      </c>
      <c r="DD217" s="233">
        <f t="shared" si="49"/>
        <v>760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E</v>
      </c>
      <c r="DB218" s="232" t="str">
        <f t="shared" si="49"/>
        <v>HIGGINSON</v>
      </c>
      <c r="DC218" s="232" t="str">
        <f t="shared" si="49"/>
        <v>D.U.P.</v>
      </c>
      <c r="DD218" s="233">
        <f t="shared" si="49"/>
        <v>1006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LEE</v>
      </c>
      <c r="DC219" s="232" t="str">
        <f t="shared" si="49"/>
        <v xml:space="preserve">SDLP </v>
      </c>
      <c r="DD219" s="233">
        <f t="shared" si="49"/>
        <v>656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/>
      </c>
      <c r="DB220" s="232" t="str">
        <f t="shared" si="49"/>
        <v>MCKEEVER</v>
      </c>
      <c r="DC220" s="232" t="str">
        <f t="shared" si="49"/>
        <v>Alliance Party</v>
      </c>
      <c r="DD220" s="233">
        <f t="shared" si="49"/>
        <v>727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>Excluded</v>
      </c>
      <c r="DB221" s="232" t="str">
        <f t="shared" si="49"/>
        <v>MILLER</v>
      </c>
      <c r="DC221" s="232" t="str">
        <f t="shared" si="49"/>
        <v>Independent</v>
      </c>
      <c r="DD221" s="233">
        <f t="shared" si="49"/>
        <v>49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>Excluded</v>
      </c>
      <c r="DB222" s="232" t="str">
        <f t="shared" si="49"/>
        <v>TRAYNOR</v>
      </c>
      <c r="DC222" s="232" t="str">
        <f t="shared" si="49"/>
        <v>D.U.P.</v>
      </c>
      <c r="DD222" s="233">
        <f t="shared" si="49"/>
        <v>527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127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</mergeCells>
  <phoneticPr fontId="0" type="noConversion"/>
  <conditionalFormatting sqref="AL3">
    <cfRule type="cellIs" dxfId="5" priority="1" stopIfTrue="1" operator="notEqual">
      <formula>0</formula>
    </cfRule>
  </conditionalFormatting>
  <conditionalFormatting sqref="BF30:BG31">
    <cfRule type="cellIs" dxfId="4" priority="2" stopIfTrue="1" operator="equal">
      <formula>"NONE"</formula>
    </cfRule>
    <cfRule type="cellIs" dxfId="3" priority="3" stopIfTrue="1" operator="notEqual">
      <formula>"NONE"</formula>
    </cfRule>
  </conditionalFormatting>
  <conditionalFormatting sqref="BY30">
    <cfRule type="cellIs" dxfId="2" priority="4" stopIfTrue="1" operator="equal">
      <formula>"Calculations OK"</formula>
    </cfRule>
    <cfRule type="cellIs" dxfId="1" priority="5" stopIfTrue="1" operator="equal">
      <formula>"Check Count for Error"</formula>
    </cfRule>
  </conditionalFormatting>
  <conditionalFormatting sqref="U50:W50 U4:W4">
    <cfRule type="cellIs" dxfId="0" priority="6" stopIfTrue="1" operator="equal">
      <formula>"SWITCH TO PAPER SYSTEM"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1796875" style="28" customWidth="1"/>
    <col min="3" max="3" width="38.8164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344</v>
      </c>
      <c r="B1" s="81"/>
      <c r="C1" s="187"/>
    </row>
    <row r="2" spans="1:7" x14ac:dyDescent="0.25">
      <c r="A2" s="3" t="s">
        <v>345</v>
      </c>
      <c r="C2" s="3"/>
      <c r="D2" s="28" t="str">
        <f>'Basic Input'!C4</f>
        <v>Local Council Elections 2023</v>
      </c>
    </row>
    <row r="3" spans="1:7" x14ac:dyDescent="0.25">
      <c r="A3" s="3" t="s">
        <v>346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Castlereagh South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0.33333333333333331</v>
      </c>
    </row>
    <row r="7" spans="1:7" ht="13" thickBot="1" x14ac:dyDescent="0.3">
      <c r="D7" s="3" t="s">
        <v>347</v>
      </c>
      <c r="E7" s="63"/>
    </row>
    <row r="9" spans="1:7" ht="13" x14ac:dyDescent="0.3">
      <c r="A9" s="214" t="s">
        <v>348</v>
      </c>
      <c r="B9" s="215" t="s">
        <v>349</v>
      </c>
      <c r="C9" s="206" t="s">
        <v>350</v>
      </c>
      <c r="D9" s="206" t="s">
        <v>351</v>
      </c>
      <c r="E9" s="207" t="s">
        <v>116</v>
      </c>
    </row>
    <row r="10" spans="1:7" s="205" customFormat="1" ht="13" x14ac:dyDescent="0.3">
      <c r="A10" s="208" t="s">
        <v>352</v>
      </c>
      <c r="B10" s="213" t="s">
        <v>353</v>
      </c>
      <c r="C10" s="208" t="s">
        <v>354</v>
      </c>
      <c r="D10" s="204" t="s">
        <v>355</v>
      </c>
      <c r="E10" s="204">
        <f>'Verification of Boxes'!D7</f>
        <v>10280</v>
      </c>
    </row>
    <row r="11" spans="1:7" s="205" customFormat="1" ht="13" x14ac:dyDescent="0.3">
      <c r="A11" s="208" t="s">
        <v>352</v>
      </c>
      <c r="B11" s="213" t="s">
        <v>353</v>
      </c>
      <c r="C11" s="208" t="s">
        <v>354</v>
      </c>
      <c r="D11" s="226" t="s">
        <v>356</v>
      </c>
      <c r="E11" s="216">
        <f>'Verification of Boxes'!Q16</f>
        <v>0.33333333333333331</v>
      </c>
    </row>
    <row r="12" spans="1:7" s="205" customFormat="1" ht="13" x14ac:dyDescent="0.3">
      <c r="A12" s="208" t="s">
        <v>352</v>
      </c>
      <c r="B12" s="213" t="s">
        <v>353</v>
      </c>
      <c r="C12" s="208" t="s">
        <v>354</v>
      </c>
      <c r="D12" s="204" t="s">
        <v>357</v>
      </c>
      <c r="E12" s="216">
        <f>'Verification of Boxes'!Q19</f>
        <v>0.41666666666666669</v>
      </c>
    </row>
    <row r="13" spans="1:7" s="205" customFormat="1" ht="13" x14ac:dyDescent="0.3">
      <c r="A13" s="208" t="s">
        <v>352</v>
      </c>
      <c r="B13" s="213" t="s">
        <v>353</v>
      </c>
      <c r="C13" s="208" t="s">
        <v>354</v>
      </c>
      <c r="D13" s="204" t="s">
        <v>358</v>
      </c>
      <c r="E13" s="209">
        <f>E12-E11</f>
        <v>8.333333333333337E-2</v>
      </c>
    </row>
    <row r="14" spans="1:7" s="205" customFormat="1" ht="13" x14ac:dyDescent="0.3">
      <c r="A14" s="208" t="s">
        <v>352</v>
      </c>
      <c r="B14" s="213" t="s">
        <v>353</v>
      </c>
      <c r="C14" s="208" t="s">
        <v>354</v>
      </c>
      <c r="D14" s="204" t="s">
        <v>359</v>
      </c>
      <c r="E14" s="209">
        <f>E13/E10*100</f>
        <v>8.1063553826199778E-4</v>
      </c>
    </row>
    <row r="15" spans="1:7" s="205" customFormat="1" ht="13" x14ac:dyDescent="0.3">
      <c r="A15" s="208" t="s">
        <v>352</v>
      </c>
      <c r="B15" s="213" t="s">
        <v>353</v>
      </c>
      <c r="C15" s="208" t="s">
        <v>354</v>
      </c>
      <c r="D15" s="204" t="s">
        <v>360</v>
      </c>
      <c r="E15" s="210" t="e">
        <f>E10/E$7</f>
        <v>#DIV/0!</v>
      </c>
    </row>
    <row r="16" spans="1:7" s="205" customFormat="1" ht="13" x14ac:dyDescent="0.3">
      <c r="A16" s="208" t="s">
        <v>352</v>
      </c>
      <c r="B16" s="213" t="s">
        <v>353</v>
      </c>
      <c r="C16" s="208" t="s">
        <v>354</v>
      </c>
      <c r="D16" s="204" t="s">
        <v>361</v>
      </c>
      <c r="E16" s="204" t="e">
        <f>E13/E15</f>
        <v>#DIV/0!</v>
      </c>
    </row>
    <row r="17" spans="1:5" s="205" customFormat="1" ht="13" x14ac:dyDescent="0.3">
      <c r="A17" s="206" t="s">
        <v>362</v>
      </c>
      <c r="B17" s="207" t="s">
        <v>363</v>
      </c>
      <c r="C17" s="206" t="s">
        <v>364</v>
      </c>
      <c r="D17" s="227" t="s">
        <v>356</v>
      </c>
      <c r="E17" s="211">
        <f>'Verification of Boxes'!Q23</f>
        <v>0.41666666666666669</v>
      </c>
    </row>
    <row r="18" spans="1:5" s="205" customFormat="1" ht="13" x14ac:dyDescent="0.3">
      <c r="A18" s="206" t="s">
        <v>362</v>
      </c>
      <c r="B18" s="207" t="s">
        <v>363</v>
      </c>
      <c r="C18" s="206" t="s">
        <v>364</v>
      </c>
      <c r="D18" s="5" t="s">
        <v>357</v>
      </c>
      <c r="E18" s="211">
        <f>'Verification of Boxes'!Q25</f>
        <v>0.54166666666666663</v>
      </c>
    </row>
    <row r="19" spans="1:5" ht="13" x14ac:dyDescent="0.3">
      <c r="A19" s="206" t="s">
        <v>362</v>
      </c>
      <c r="B19" s="207" t="s">
        <v>363</v>
      </c>
      <c r="C19" s="206" t="s">
        <v>364</v>
      </c>
      <c r="D19" s="5" t="s">
        <v>365</v>
      </c>
      <c r="E19" s="5">
        <f>'Verification of Boxes'!D7</f>
        <v>10280</v>
      </c>
    </row>
    <row r="20" spans="1:5" ht="13" x14ac:dyDescent="0.3">
      <c r="A20" s="206" t="s">
        <v>362</v>
      </c>
      <c r="B20" s="207" t="s">
        <v>363</v>
      </c>
      <c r="C20" s="206" t="s">
        <v>364</v>
      </c>
      <c r="D20" s="5" t="s">
        <v>366</v>
      </c>
      <c r="E20" s="218">
        <f>E18-E17</f>
        <v>0.12499999999999994</v>
      </c>
    </row>
    <row r="21" spans="1:5" ht="13" x14ac:dyDescent="0.3">
      <c r="A21" s="206" t="s">
        <v>362</v>
      </c>
      <c r="B21" s="207" t="s">
        <v>363</v>
      </c>
      <c r="C21" s="206" t="s">
        <v>364</v>
      </c>
      <c r="D21" s="5" t="s">
        <v>359</v>
      </c>
      <c r="E21" s="218">
        <f>E20/E19*100</f>
        <v>1.2159533073929955E-3</v>
      </c>
    </row>
    <row r="22" spans="1:5" ht="13" x14ac:dyDescent="0.3">
      <c r="A22" s="206" t="s">
        <v>362</v>
      </c>
      <c r="B22" s="207" t="s">
        <v>363</v>
      </c>
      <c r="C22" s="206" t="s">
        <v>364</v>
      </c>
      <c r="D22" s="5" t="s">
        <v>367</v>
      </c>
      <c r="E22" s="212" t="e">
        <f>E19/E$7</f>
        <v>#DIV/0!</v>
      </c>
    </row>
    <row r="23" spans="1:5" ht="13" x14ac:dyDescent="0.3">
      <c r="A23" s="206" t="s">
        <v>362</v>
      </c>
      <c r="B23" s="207" t="s">
        <v>363</v>
      </c>
      <c r="C23" s="206" t="s">
        <v>364</v>
      </c>
      <c r="D23" s="5" t="s">
        <v>368</v>
      </c>
      <c r="E23" s="211" t="e">
        <f>E20/E22</f>
        <v>#DIV/0!</v>
      </c>
    </row>
    <row r="24" spans="1:5" ht="13" x14ac:dyDescent="0.3">
      <c r="A24" s="208" t="s">
        <v>107</v>
      </c>
      <c r="B24" s="213" t="str">
        <f>'Stage 2'!F$7</f>
        <v>Exclude</v>
      </c>
      <c r="C24" s="208" t="str">
        <f>'Stage 2'!F$8</f>
        <v>Miller</v>
      </c>
      <c r="D24" s="204" t="s">
        <v>357</v>
      </c>
      <c r="E24" s="209">
        <f>'Stage 2'!G34</f>
        <v>0.58333333333333337</v>
      </c>
    </row>
    <row r="25" spans="1:5" s="205" customFormat="1" ht="13" x14ac:dyDescent="0.3">
      <c r="A25" s="208" t="s">
        <v>107</v>
      </c>
      <c r="B25" s="213" t="str">
        <f>'Stage 2'!F$7</f>
        <v>Exclude</v>
      </c>
      <c r="C25" s="208" t="str">
        <f>'Stage 2'!F$8</f>
        <v>Miller</v>
      </c>
      <c r="D25" s="204" t="s">
        <v>365</v>
      </c>
      <c r="E25" s="204">
        <f>IF('Stage 2'!AQ5="y",'Stage 2'!BC13,'Stage 2'!CE6)</f>
        <v>49</v>
      </c>
    </row>
    <row r="26" spans="1:5" s="205" customFormat="1" ht="13" x14ac:dyDescent="0.3">
      <c r="A26" s="208" t="s">
        <v>107</v>
      </c>
      <c r="B26" s="213" t="str">
        <f>'Stage 2'!F$7</f>
        <v>Exclude</v>
      </c>
      <c r="C26" s="208" t="str">
        <f>'Stage 2'!F$8</f>
        <v>Miller</v>
      </c>
      <c r="D26" s="204" t="s">
        <v>366</v>
      </c>
      <c r="E26" s="209">
        <f>E24-E18</f>
        <v>4.1666666666666741E-2</v>
      </c>
    </row>
    <row r="27" spans="1:5" s="205" customFormat="1" ht="13" x14ac:dyDescent="0.3">
      <c r="A27" s="208" t="s">
        <v>107</v>
      </c>
      <c r="B27" s="213" t="str">
        <f>'Stage 2'!F$7</f>
        <v>Exclude</v>
      </c>
      <c r="C27" s="208" t="str">
        <f>'Stage 2'!F$8</f>
        <v>Miller</v>
      </c>
      <c r="D27" s="204" t="s">
        <v>359</v>
      </c>
      <c r="E27" s="209">
        <f>E26/E25*100</f>
        <v>8.5034013605442327E-2</v>
      </c>
    </row>
    <row r="28" spans="1:5" s="205" customFormat="1" ht="13" x14ac:dyDescent="0.3">
      <c r="A28" s="208" t="s">
        <v>107</v>
      </c>
      <c r="B28" s="213" t="str">
        <f>'Stage 2'!F$7</f>
        <v>Exclude</v>
      </c>
      <c r="C28" s="208" t="str">
        <f>'Stage 2'!F$8</f>
        <v>Miller</v>
      </c>
      <c r="D28" s="204" t="s">
        <v>367</v>
      </c>
      <c r="E28" s="210" t="e">
        <f>E25/E$7</f>
        <v>#DIV/0!</v>
      </c>
    </row>
    <row r="29" spans="1:5" s="205" customFormat="1" ht="13" x14ac:dyDescent="0.3">
      <c r="A29" s="208" t="s">
        <v>107</v>
      </c>
      <c r="B29" s="213" t="str">
        <f>'Stage 2'!F$7</f>
        <v>Exclude</v>
      </c>
      <c r="C29" s="208" t="str">
        <f>'Stage 2'!F$8</f>
        <v>Miller</v>
      </c>
      <c r="D29" s="204" t="s">
        <v>368</v>
      </c>
      <c r="E29" s="209" t="e">
        <f>E26/E28</f>
        <v>#DIV/0!</v>
      </c>
    </row>
    <row r="30" spans="1:5" s="205" customFormat="1" ht="13" x14ac:dyDescent="0.3">
      <c r="A30" s="206" t="s">
        <v>108</v>
      </c>
      <c r="B30" s="207" t="str">
        <f>'Stage 3'!H$7</f>
        <v>Transfer</v>
      </c>
      <c r="C30" s="206" t="str">
        <f>'Stage 3'!H$8</f>
        <v>GUY</v>
      </c>
      <c r="D30" s="5" t="s">
        <v>357</v>
      </c>
      <c r="E30" s="211">
        <f>'Stage 3'!I34</f>
        <v>0.62847222222222221</v>
      </c>
    </row>
    <row r="31" spans="1:5" ht="13" x14ac:dyDescent="0.3">
      <c r="A31" s="206" t="s">
        <v>108</v>
      </c>
      <c r="B31" s="207" t="str">
        <f>'Stage 3'!H$7</f>
        <v>Transfer</v>
      </c>
      <c r="C31" s="206" t="str">
        <f>'Stage 3'!H$8</f>
        <v>GUY</v>
      </c>
      <c r="D31" s="5" t="s">
        <v>365</v>
      </c>
      <c r="E31" s="5">
        <f>IF('Stage 3'!AQ5="y",'Stage 3'!BC13,'Stage 3'!CE6)</f>
        <v>1452</v>
      </c>
    </row>
    <row r="32" spans="1:5" ht="13" x14ac:dyDescent="0.3">
      <c r="A32" s="206" t="s">
        <v>108</v>
      </c>
      <c r="B32" s="207" t="str">
        <f>'Stage 3'!H$7</f>
        <v>Transfer</v>
      </c>
      <c r="C32" s="206" t="str">
        <f>'Stage 3'!H$8</f>
        <v>GUY</v>
      </c>
      <c r="D32" s="5" t="s">
        <v>366</v>
      </c>
      <c r="E32" s="211">
        <f>E30-E24</f>
        <v>4.513888888888884E-2</v>
      </c>
    </row>
    <row r="33" spans="1:5" ht="13" x14ac:dyDescent="0.3">
      <c r="A33" s="206" t="s">
        <v>108</v>
      </c>
      <c r="B33" s="207" t="str">
        <f>'Stage 3'!H$7</f>
        <v>Transfer</v>
      </c>
      <c r="C33" s="206" t="str">
        <f>'Stage 3'!H$8</f>
        <v>GUY</v>
      </c>
      <c r="D33" s="5" t="s">
        <v>359</v>
      </c>
      <c r="E33" s="211">
        <f>E32/E31*100</f>
        <v>3.108738904193446E-3</v>
      </c>
    </row>
    <row r="34" spans="1:5" ht="13" x14ac:dyDescent="0.3">
      <c r="A34" s="206" t="s">
        <v>108</v>
      </c>
      <c r="B34" s="207" t="str">
        <f>'Stage 3'!H$7</f>
        <v>Transfer</v>
      </c>
      <c r="C34" s="206" t="str">
        <f>'Stage 3'!H$8</f>
        <v>GUY</v>
      </c>
      <c r="D34" s="5" t="s">
        <v>367</v>
      </c>
      <c r="E34" s="212" t="e">
        <f>E31/E$7</f>
        <v>#DIV/0!</v>
      </c>
    </row>
    <row r="35" spans="1:5" ht="13" x14ac:dyDescent="0.3">
      <c r="A35" s="206" t="s">
        <v>108</v>
      </c>
      <c r="B35" s="207" t="str">
        <f>'Stage 3'!H$7</f>
        <v>Transfer</v>
      </c>
      <c r="C35" s="206" t="str">
        <f>'Stage 3'!H$8</f>
        <v>GUY</v>
      </c>
      <c r="D35" s="5" t="s">
        <v>368</v>
      </c>
      <c r="E35" s="211" t="e">
        <f>E32/E34</f>
        <v>#DIV/0!</v>
      </c>
    </row>
    <row r="36" spans="1:5" ht="13" x14ac:dyDescent="0.3">
      <c r="A36" s="208" t="s">
        <v>109</v>
      </c>
      <c r="B36" s="213" t="str">
        <f>'Stage 4'!J$7</f>
        <v>Exclude</v>
      </c>
      <c r="C36" s="208" t="str">
        <f>'Stage 4'!J$8</f>
        <v>TRAYNOR</v>
      </c>
      <c r="D36" s="204" t="s">
        <v>357</v>
      </c>
      <c r="E36" s="209">
        <f>'Stage 4'!K34</f>
        <v>0.68888888888888899</v>
      </c>
    </row>
    <row r="37" spans="1:5" ht="13" x14ac:dyDescent="0.3">
      <c r="A37" s="208" t="s">
        <v>109</v>
      </c>
      <c r="B37" s="213" t="str">
        <f>'Stage 4'!J$7</f>
        <v>Exclude</v>
      </c>
      <c r="C37" s="208" t="str">
        <f>'Stage 4'!J$8</f>
        <v>TRAYNOR</v>
      </c>
      <c r="D37" s="204" t="s">
        <v>365</v>
      </c>
      <c r="E37" s="204">
        <f>IF('Stage 4'!AQ5="y",'Stage 4'!BC13,'Stage 4'!CE6)</f>
        <v>528.12</v>
      </c>
    </row>
    <row r="38" spans="1:5" ht="13" x14ac:dyDescent="0.3">
      <c r="A38" s="208" t="s">
        <v>109</v>
      </c>
      <c r="B38" s="213" t="str">
        <f>'Stage 4'!J$7</f>
        <v>Exclude</v>
      </c>
      <c r="C38" s="208" t="str">
        <f>'Stage 4'!J$8</f>
        <v>TRAYNOR</v>
      </c>
      <c r="D38" s="204" t="s">
        <v>366</v>
      </c>
      <c r="E38" s="209">
        <f>E36-E30</f>
        <v>6.0416666666666785E-2</v>
      </c>
    </row>
    <row r="39" spans="1:5" ht="13" x14ac:dyDescent="0.3">
      <c r="A39" s="208" t="s">
        <v>109</v>
      </c>
      <c r="B39" s="213" t="str">
        <f>'Stage 4'!J$7</f>
        <v>Exclude</v>
      </c>
      <c r="C39" s="208" t="str">
        <f>'Stage 4'!J$8</f>
        <v>TRAYNOR</v>
      </c>
      <c r="D39" s="204" t="s">
        <v>359</v>
      </c>
      <c r="E39" s="209">
        <f>E38/E37*100</f>
        <v>1.1439950516296824E-2</v>
      </c>
    </row>
    <row r="40" spans="1:5" ht="13" x14ac:dyDescent="0.3">
      <c r="A40" s="208" t="s">
        <v>109</v>
      </c>
      <c r="B40" s="213" t="str">
        <f>'Stage 4'!J$7</f>
        <v>Exclude</v>
      </c>
      <c r="C40" s="208" t="str">
        <f>'Stage 4'!J$8</f>
        <v>TRAYNOR</v>
      </c>
      <c r="D40" s="204" t="s">
        <v>367</v>
      </c>
      <c r="E40" s="210" t="e">
        <f>E37/E$7</f>
        <v>#DIV/0!</v>
      </c>
    </row>
    <row r="41" spans="1:5" ht="13" x14ac:dyDescent="0.3">
      <c r="A41" s="208" t="s">
        <v>109</v>
      </c>
      <c r="B41" s="213" t="str">
        <f>'Stage 4'!J$7</f>
        <v>Exclude</v>
      </c>
      <c r="C41" s="208" t="str">
        <f>'Stage 4'!J$8</f>
        <v>TRAYNOR</v>
      </c>
      <c r="D41" s="204" t="s">
        <v>368</v>
      </c>
      <c r="E41" s="209" t="e">
        <f>E38/E40</f>
        <v>#DIV/0!</v>
      </c>
    </row>
    <row r="42" spans="1:5" ht="13" x14ac:dyDescent="0.3">
      <c r="A42" s="206" t="s">
        <v>110</v>
      </c>
      <c r="B42" s="207" t="str">
        <f>'Stage 5'!L$7</f>
        <v>Transfer</v>
      </c>
      <c r="C42" s="206" t="str">
        <f>'Stage 5'!L$8</f>
        <v>HIGGINSON</v>
      </c>
      <c r="D42" s="5" t="s">
        <v>357</v>
      </c>
      <c r="E42" s="211">
        <f>'Stage 5'!M34</f>
        <v>0.71875</v>
      </c>
    </row>
    <row r="43" spans="1:5" ht="13" x14ac:dyDescent="0.3">
      <c r="A43" s="206" t="s">
        <v>110</v>
      </c>
      <c r="B43" s="207" t="str">
        <f>'Stage 5'!L$7</f>
        <v>Transfer</v>
      </c>
      <c r="C43" s="206" t="str">
        <f>'Stage 5'!L$8</f>
        <v>HIGGINSON</v>
      </c>
      <c r="D43" s="5" t="s">
        <v>365</v>
      </c>
      <c r="E43" s="5">
        <f>IF('Stage 5'!AQ5="y",'Stage 5'!BC13,'Stage 5'!CE6)</f>
        <v>498.12</v>
      </c>
    </row>
    <row r="44" spans="1:5" ht="13" x14ac:dyDescent="0.3">
      <c r="A44" s="206" t="s">
        <v>110</v>
      </c>
      <c r="B44" s="207" t="str">
        <f>'Stage 5'!L$7</f>
        <v>Transfer</v>
      </c>
      <c r="C44" s="206" t="str">
        <f>'Stage 5'!L$8</f>
        <v>HIGGINSON</v>
      </c>
      <c r="D44" s="5" t="s">
        <v>366</v>
      </c>
      <c r="E44" s="211">
        <f>E42-E36</f>
        <v>2.9861111111111005E-2</v>
      </c>
    </row>
    <row r="45" spans="1:5" ht="13" x14ac:dyDescent="0.3">
      <c r="A45" s="206" t="s">
        <v>110</v>
      </c>
      <c r="B45" s="207" t="str">
        <f>'Stage 5'!L$7</f>
        <v>Transfer</v>
      </c>
      <c r="C45" s="206" t="str">
        <f>'Stage 5'!L$8</f>
        <v>HIGGINSON</v>
      </c>
      <c r="D45" s="5" t="s">
        <v>359</v>
      </c>
      <c r="E45" s="211">
        <f>E44/E43*100</f>
        <v>5.9947625293324909E-3</v>
      </c>
    </row>
    <row r="46" spans="1:5" ht="13" x14ac:dyDescent="0.3">
      <c r="A46" s="206" t="s">
        <v>110</v>
      </c>
      <c r="B46" s="207" t="str">
        <f>'Stage 5'!L$7</f>
        <v>Transfer</v>
      </c>
      <c r="C46" s="206" t="str">
        <f>'Stage 5'!L$8</f>
        <v>HIGGINSON</v>
      </c>
      <c r="D46" s="5" t="s">
        <v>367</v>
      </c>
      <c r="E46" s="212" t="e">
        <f>E43/E$7</f>
        <v>#DIV/0!</v>
      </c>
    </row>
    <row r="47" spans="1:5" ht="13" x14ac:dyDescent="0.3">
      <c r="A47" s="206" t="s">
        <v>110</v>
      </c>
      <c r="B47" s="207" t="str">
        <f>'Stage 5'!L$7</f>
        <v>Transfer</v>
      </c>
      <c r="C47" s="206" t="str">
        <f>'Stage 5'!L$8</f>
        <v>HIGGINSON</v>
      </c>
      <c r="D47" s="5" t="s">
        <v>368</v>
      </c>
      <c r="E47" s="211" t="e">
        <f>E44/E46</f>
        <v>#DIV/0!</v>
      </c>
    </row>
    <row r="48" spans="1:5" ht="13" x14ac:dyDescent="0.3">
      <c r="A48" s="208" t="s">
        <v>111</v>
      </c>
      <c r="B48" s="213" t="str">
        <f>'Stage 6'!N$7</f>
        <v>Exclude</v>
      </c>
      <c r="C48" s="208" t="str">
        <f>'Stage 6'!N$8</f>
        <v>Hamley</v>
      </c>
      <c r="D48" s="204" t="s">
        <v>357</v>
      </c>
      <c r="E48" s="209">
        <f>'Stage 6'!O34</f>
        <v>0.83680555555555547</v>
      </c>
    </row>
    <row r="49" spans="1:5" ht="13" x14ac:dyDescent="0.3">
      <c r="A49" s="208" t="s">
        <v>111</v>
      </c>
      <c r="B49" s="213" t="str">
        <f>'Stage 6'!N$7</f>
        <v>Exclude</v>
      </c>
      <c r="C49" s="208" t="str">
        <f>'Stage 6'!N$8</f>
        <v>Hamley</v>
      </c>
      <c r="D49" s="204" t="s">
        <v>365</v>
      </c>
      <c r="E49" s="204">
        <f>IF('Stage 6'!AQ5="y",'Stage 6'!BC13,'Stage 6'!CE6)</f>
        <v>740</v>
      </c>
    </row>
    <row r="50" spans="1:5" ht="13" x14ac:dyDescent="0.3">
      <c r="A50" s="208" t="s">
        <v>111</v>
      </c>
      <c r="B50" s="213" t="str">
        <f>'Stage 6'!N$7</f>
        <v>Exclude</v>
      </c>
      <c r="C50" s="208" t="str">
        <f>'Stage 6'!N$8</f>
        <v>Hamley</v>
      </c>
      <c r="D50" s="204" t="s">
        <v>366</v>
      </c>
      <c r="E50" s="209">
        <f>E48-E42</f>
        <v>0.11805555555555547</v>
      </c>
    </row>
    <row r="51" spans="1:5" ht="13" x14ac:dyDescent="0.3">
      <c r="A51" s="208" t="s">
        <v>111</v>
      </c>
      <c r="B51" s="213" t="str">
        <f>'Stage 6'!N$7</f>
        <v>Exclude</v>
      </c>
      <c r="C51" s="208" t="str">
        <f>'Stage 6'!N$8</f>
        <v>Hamley</v>
      </c>
      <c r="D51" s="204" t="s">
        <v>359</v>
      </c>
      <c r="E51" s="209">
        <f>E50/E49*100</f>
        <v>1.5953453453453441E-2</v>
      </c>
    </row>
    <row r="52" spans="1:5" ht="13" x14ac:dyDescent="0.3">
      <c r="A52" s="208" t="s">
        <v>111</v>
      </c>
      <c r="B52" s="213" t="str">
        <f>'Stage 6'!N$7</f>
        <v>Exclude</v>
      </c>
      <c r="C52" s="208" t="str">
        <f>'Stage 6'!N$8</f>
        <v>Hamley</v>
      </c>
      <c r="D52" s="204" t="s">
        <v>367</v>
      </c>
      <c r="E52" s="210" t="e">
        <f>E49/E$7</f>
        <v>#DIV/0!</v>
      </c>
    </row>
    <row r="53" spans="1:5" ht="13" x14ac:dyDescent="0.3">
      <c r="A53" s="208" t="s">
        <v>111</v>
      </c>
      <c r="B53" s="213" t="str">
        <f>'Stage 6'!N$7</f>
        <v>Exclude</v>
      </c>
      <c r="C53" s="208" t="str">
        <f>'Stage 6'!N$8</f>
        <v>Hamley</v>
      </c>
      <c r="D53" s="204" t="s">
        <v>368</v>
      </c>
      <c r="E53" s="209" t="e">
        <f>E50/E52</f>
        <v>#DIV/0!</v>
      </c>
    </row>
    <row r="54" spans="1:5" ht="13" x14ac:dyDescent="0.3">
      <c r="A54" s="206" t="s">
        <v>112</v>
      </c>
      <c r="B54" s="207" t="str">
        <f>'Stage 7'!P$7</f>
        <v>Exclude</v>
      </c>
      <c r="C54" s="207" t="str">
        <f>'Stage 7'!P$8</f>
        <v>Lee</v>
      </c>
      <c r="D54" s="5" t="s">
        <v>357</v>
      </c>
      <c r="E54" s="211">
        <f>'Stage 7'!Q34</f>
        <v>0.89583333333333337</v>
      </c>
    </row>
    <row r="55" spans="1:5" ht="13" x14ac:dyDescent="0.3">
      <c r="A55" s="206" t="s">
        <v>112</v>
      </c>
      <c r="B55" s="207" t="str">
        <f>'Stage 7'!P$7</f>
        <v>Exclude</v>
      </c>
      <c r="C55" s="207" t="str">
        <f>'Stage 7'!P$8</f>
        <v>Lee</v>
      </c>
      <c r="D55" s="5" t="s">
        <v>365</v>
      </c>
      <c r="E55" s="5">
        <f>IF('Stage 7'!AQ5="y",'Stage 7'!BC13,'Stage 7'!CE6)</f>
        <v>929</v>
      </c>
    </row>
    <row r="56" spans="1:5" ht="13" x14ac:dyDescent="0.3">
      <c r="A56" s="206" t="s">
        <v>112</v>
      </c>
      <c r="B56" s="207" t="str">
        <f>'Stage 7'!P$7</f>
        <v>Exclude</v>
      </c>
      <c r="C56" s="207" t="str">
        <f>'Stage 7'!P$8</f>
        <v>Lee</v>
      </c>
      <c r="D56" s="5" t="s">
        <v>366</v>
      </c>
      <c r="E56" s="211">
        <f>E54-E48</f>
        <v>5.9027777777777901E-2</v>
      </c>
    </row>
    <row r="57" spans="1:5" ht="13" x14ac:dyDescent="0.3">
      <c r="A57" s="206" t="s">
        <v>112</v>
      </c>
      <c r="B57" s="207" t="str">
        <f>'Stage 7'!P$7</f>
        <v>Exclude</v>
      </c>
      <c r="C57" s="207" t="str">
        <f>'Stage 7'!P$8</f>
        <v>Lee</v>
      </c>
      <c r="D57" s="5" t="s">
        <v>359</v>
      </c>
      <c r="E57" s="211">
        <f>E56/E55*100</f>
        <v>6.3539050352828747E-3</v>
      </c>
    </row>
    <row r="58" spans="1:5" ht="13" x14ac:dyDescent="0.3">
      <c r="A58" s="206" t="s">
        <v>112</v>
      </c>
      <c r="B58" s="207" t="str">
        <f>'Stage 7'!P$7</f>
        <v>Exclude</v>
      </c>
      <c r="C58" s="207" t="str">
        <f>'Stage 7'!P$8</f>
        <v>Lee</v>
      </c>
      <c r="D58" s="5" t="s">
        <v>367</v>
      </c>
      <c r="E58" s="212" t="e">
        <f>E55/E$7</f>
        <v>#DIV/0!</v>
      </c>
    </row>
    <row r="59" spans="1:5" ht="13" x14ac:dyDescent="0.3">
      <c r="A59" s="206" t="s">
        <v>112</v>
      </c>
      <c r="B59" s="207" t="str">
        <f>'Stage 7'!P$7</f>
        <v>Exclude</v>
      </c>
      <c r="C59" s="207" t="str">
        <f>'Stage 7'!P$8</f>
        <v>Lee</v>
      </c>
      <c r="D59" s="5" t="s">
        <v>368</v>
      </c>
      <c r="E59" s="211" t="e">
        <f>E56/E58</f>
        <v>#DIV/0!</v>
      </c>
    </row>
    <row r="60" spans="1:5" ht="13" x14ac:dyDescent="0.3">
      <c r="A60" s="208" t="s">
        <v>113</v>
      </c>
      <c r="B60" s="213" t="str">
        <f>'Stage 8'!R$7</f>
        <v>Transfer</v>
      </c>
      <c r="C60" s="208" t="str">
        <f>'Stage 8'!R$8</f>
        <v>GALLEN</v>
      </c>
      <c r="D60" s="204" t="s">
        <v>357</v>
      </c>
      <c r="E60" s="209">
        <f>'Stage 8'!S34</f>
        <v>0.9375</v>
      </c>
    </row>
    <row r="61" spans="1:5" ht="13" x14ac:dyDescent="0.3">
      <c r="A61" s="208" t="s">
        <v>113</v>
      </c>
      <c r="B61" s="213" t="str">
        <f>'Stage 8'!R$7</f>
        <v>Transfer</v>
      </c>
      <c r="C61" s="208" t="str">
        <f>'Stage 8'!R$8</f>
        <v>GALLEN</v>
      </c>
      <c r="D61" s="204" t="s">
        <v>365</v>
      </c>
      <c r="E61" s="204">
        <f>IF('Stage 8'!AQ5="y",'Stage 8'!BC13,'Stage 8'!CE6)</f>
        <v>466</v>
      </c>
    </row>
    <row r="62" spans="1:5" ht="13" x14ac:dyDescent="0.3">
      <c r="A62" s="208" t="s">
        <v>113</v>
      </c>
      <c r="B62" s="213" t="str">
        <f>'Stage 8'!R$7</f>
        <v>Transfer</v>
      </c>
      <c r="C62" s="208" t="str">
        <f>'Stage 8'!R$8</f>
        <v>GALLEN</v>
      </c>
      <c r="D62" s="204" t="s">
        <v>366</v>
      </c>
      <c r="E62" s="209">
        <f>E60-E54</f>
        <v>4.166666666666663E-2</v>
      </c>
    </row>
    <row r="63" spans="1:5" ht="13" x14ac:dyDescent="0.3">
      <c r="A63" s="208" t="s">
        <v>113</v>
      </c>
      <c r="B63" s="213" t="str">
        <f>'Stage 8'!R$7</f>
        <v>Transfer</v>
      </c>
      <c r="C63" s="208" t="str">
        <f>'Stage 8'!R$8</f>
        <v>GALLEN</v>
      </c>
      <c r="D63" s="204" t="s">
        <v>359</v>
      </c>
      <c r="E63" s="209">
        <f>E62/E61*100</f>
        <v>8.9413447782546417E-3</v>
      </c>
    </row>
    <row r="64" spans="1:5" ht="13" x14ac:dyDescent="0.3">
      <c r="A64" s="208" t="s">
        <v>113</v>
      </c>
      <c r="B64" s="213" t="str">
        <f>'Stage 8'!R$7</f>
        <v>Transfer</v>
      </c>
      <c r="C64" s="208" t="str">
        <f>'Stage 8'!R$8</f>
        <v>GALLEN</v>
      </c>
      <c r="D64" s="204" t="s">
        <v>367</v>
      </c>
      <c r="E64" s="210" t="e">
        <f>E61/E$7</f>
        <v>#DIV/0!</v>
      </c>
    </row>
    <row r="65" spans="1:5" ht="13" x14ac:dyDescent="0.3">
      <c r="A65" s="208" t="s">
        <v>113</v>
      </c>
      <c r="B65" s="213" t="str">
        <f>'Stage 8'!R$7</f>
        <v>Transfer</v>
      </c>
      <c r="C65" s="208" t="str">
        <f>'Stage 8'!R$8</f>
        <v>GALLEN</v>
      </c>
      <c r="D65" s="204" t="s">
        <v>368</v>
      </c>
      <c r="E65" s="209" t="e">
        <f>E62/E64</f>
        <v>#DIV/0!</v>
      </c>
    </row>
    <row r="66" spans="1:5" ht="13" x14ac:dyDescent="0.3">
      <c r="A66" s="206" t="s">
        <v>114</v>
      </c>
      <c r="B66" s="207" t="str">
        <f>'Stage 9'!T$7</f>
        <v>Transfer</v>
      </c>
      <c r="C66" s="206" t="str">
        <f>'Stage 9'!T$8</f>
        <v>CARLIN</v>
      </c>
      <c r="D66" s="5" t="s">
        <v>357</v>
      </c>
      <c r="E66" s="211">
        <f>'Stage 9'!U34</f>
        <v>0</v>
      </c>
    </row>
    <row r="67" spans="1:5" ht="13" x14ac:dyDescent="0.3">
      <c r="A67" s="206" t="s">
        <v>114</v>
      </c>
      <c r="B67" s="207" t="str">
        <f>'Stage 9'!T$7</f>
        <v>Transfer</v>
      </c>
      <c r="C67" s="206" t="str">
        <f>'Stage 9'!T$8</f>
        <v>CARLIN</v>
      </c>
      <c r="D67" s="5" t="s">
        <v>365</v>
      </c>
      <c r="E67" s="5">
        <f>IF('Stage 9'!AQ5="y",'Stage 9'!BC13,'Stage 9'!CE6)</f>
        <v>0</v>
      </c>
    </row>
    <row r="68" spans="1:5" ht="13" x14ac:dyDescent="0.3">
      <c r="A68" s="206" t="s">
        <v>114</v>
      </c>
      <c r="B68" s="207" t="str">
        <f>'Stage 9'!T$7</f>
        <v>Transfer</v>
      </c>
      <c r="C68" s="206" t="str">
        <f>'Stage 9'!T$8</f>
        <v>CARLIN</v>
      </c>
      <c r="D68" s="5" t="s">
        <v>366</v>
      </c>
      <c r="E68" s="211">
        <f>E66-E60</f>
        <v>-0.9375</v>
      </c>
    </row>
    <row r="69" spans="1:5" ht="13" x14ac:dyDescent="0.3">
      <c r="A69" s="206" t="s">
        <v>114</v>
      </c>
      <c r="B69" s="207" t="str">
        <f>'Stage 9'!T$7</f>
        <v>Transfer</v>
      </c>
      <c r="C69" s="206" t="str">
        <f>'Stage 9'!T$8</f>
        <v>CARLIN</v>
      </c>
      <c r="D69" s="5" t="s">
        <v>359</v>
      </c>
      <c r="E69" s="211" t="e">
        <f>E68/E67*100</f>
        <v>#DIV/0!</v>
      </c>
    </row>
    <row r="70" spans="1:5" ht="13" x14ac:dyDescent="0.3">
      <c r="A70" s="206" t="s">
        <v>114</v>
      </c>
      <c r="B70" s="207" t="str">
        <f>'Stage 9'!T$7</f>
        <v>Transfer</v>
      </c>
      <c r="C70" s="206" t="str">
        <f>'Stage 9'!T$8</f>
        <v>CARLIN</v>
      </c>
      <c r="D70" s="5" t="s">
        <v>367</v>
      </c>
      <c r="E70" s="212" t="e">
        <f>E67/E$7</f>
        <v>#DIV/0!</v>
      </c>
    </row>
    <row r="71" spans="1:5" ht="13" x14ac:dyDescent="0.3">
      <c r="A71" s="206" t="s">
        <v>114</v>
      </c>
      <c r="B71" s="207" t="str">
        <f>'Stage 9'!T$7</f>
        <v>Transfer</v>
      </c>
      <c r="C71" s="206" t="str">
        <f>'Stage 9'!T$8</f>
        <v>CARLIN</v>
      </c>
      <c r="D71" s="5" t="s">
        <v>368</v>
      </c>
      <c r="E71" s="211" t="e">
        <f>E68/E70</f>
        <v>#DIV/0!</v>
      </c>
    </row>
    <row r="72" spans="1:5" ht="13" x14ac:dyDescent="0.3">
      <c r="A72" s="208" t="s">
        <v>115</v>
      </c>
      <c r="B72" s="213">
        <f>'Stage 10'!V$7</f>
        <v>0</v>
      </c>
      <c r="C72" s="208">
        <f>'Stage 10'!V$8</f>
        <v>0</v>
      </c>
      <c r="D72" s="204" t="s">
        <v>357</v>
      </c>
      <c r="E72" s="209">
        <f>'Stage 10'!W34</f>
        <v>0</v>
      </c>
    </row>
    <row r="73" spans="1:5" ht="13" x14ac:dyDescent="0.3">
      <c r="A73" s="208" t="s">
        <v>115</v>
      </c>
      <c r="B73" s="213">
        <f>'Stage 10'!V$7</f>
        <v>0</v>
      </c>
      <c r="C73" s="208">
        <f>'Stage 10'!V$8</f>
        <v>0</v>
      </c>
      <c r="D73" s="204" t="s">
        <v>365</v>
      </c>
      <c r="E73" s="204">
        <f>IF('Stage 10'!AQ5="y",'Stage 10'!BC13,'Stage 10'!CE6)</f>
        <v>0</v>
      </c>
    </row>
    <row r="74" spans="1:5" ht="13" x14ac:dyDescent="0.3">
      <c r="A74" s="208" t="s">
        <v>115</v>
      </c>
      <c r="B74" s="213">
        <f>'Stage 10'!V$7</f>
        <v>0</v>
      </c>
      <c r="C74" s="208">
        <f>'Stage 10'!V$8</f>
        <v>0</v>
      </c>
      <c r="D74" s="204" t="s">
        <v>366</v>
      </c>
      <c r="E74" s="209">
        <f>E72-E66</f>
        <v>0</v>
      </c>
    </row>
    <row r="75" spans="1:5" ht="13" x14ac:dyDescent="0.3">
      <c r="A75" s="208" t="s">
        <v>115</v>
      </c>
      <c r="B75" s="213">
        <f>'Stage 10'!V$7</f>
        <v>0</v>
      </c>
      <c r="C75" s="208">
        <f>'Stage 10'!V$8</f>
        <v>0</v>
      </c>
      <c r="D75" s="204" t="s">
        <v>359</v>
      </c>
      <c r="E75" s="209" t="e">
        <f>E74/E73*100</f>
        <v>#DIV/0!</v>
      </c>
    </row>
    <row r="76" spans="1:5" ht="13" x14ac:dyDescent="0.3">
      <c r="A76" s="208" t="s">
        <v>115</v>
      </c>
      <c r="B76" s="213">
        <f>'Stage 10'!V$7</f>
        <v>0</v>
      </c>
      <c r="C76" s="208">
        <f>'Stage 10'!V$8</f>
        <v>0</v>
      </c>
      <c r="D76" s="204" t="s">
        <v>367</v>
      </c>
      <c r="E76" s="210" t="e">
        <f>E73/E$7</f>
        <v>#DIV/0!</v>
      </c>
    </row>
    <row r="77" spans="1:5" ht="13" x14ac:dyDescent="0.3">
      <c r="A77" s="208" t="s">
        <v>115</v>
      </c>
      <c r="B77" s="213">
        <f>'Stage 10'!V$7</f>
        <v>0</v>
      </c>
      <c r="C77" s="208">
        <f>'Stage 10'!V$8</f>
        <v>0</v>
      </c>
      <c r="D77" s="204" t="s">
        <v>368</v>
      </c>
      <c r="E77" s="209" t="e">
        <f>E74/E76</f>
        <v>#DIV/0!</v>
      </c>
    </row>
    <row r="78" spans="1:5" ht="13" x14ac:dyDescent="0.3">
      <c r="A78" s="206" t="s">
        <v>279</v>
      </c>
      <c r="B78" s="207">
        <f>'Stage 11'!H$53</f>
        <v>0</v>
      </c>
      <c r="C78" s="206">
        <f>'Stage 11'!H$54</f>
        <v>0</v>
      </c>
      <c r="D78" s="5" t="s">
        <v>357</v>
      </c>
      <c r="E78" s="211">
        <f>'Stage 11'!I80</f>
        <v>0</v>
      </c>
    </row>
    <row r="79" spans="1:5" ht="13" x14ac:dyDescent="0.3">
      <c r="A79" s="206" t="s">
        <v>279</v>
      </c>
      <c r="B79" s="207">
        <f>'Stage 11'!H$53</f>
        <v>0</v>
      </c>
      <c r="C79" s="206">
        <f>'Stage 11'!H$54</f>
        <v>0</v>
      </c>
      <c r="D79" s="5" t="s">
        <v>365</v>
      </c>
      <c r="E79" s="5">
        <f>IF('Stage 11'!AQ5="y",'Stage 11'!BC13,'Stage 11'!CE6)</f>
        <v>0</v>
      </c>
    </row>
    <row r="80" spans="1:5" ht="13" x14ac:dyDescent="0.3">
      <c r="A80" s="206" t="s">
        <v>279</v>
      </c>
      <c r="B80" s="207">
        <f>'Stage 11'!H$53</f>
        <v>0</v>
      </c>
      <c r="C80" s="206">
        <f>'Stage 11'!H$54</f>
        <v>0</v>
      </c>
      <c r="D80" s="5" t="s">
        <v>366</v>
      </c>
      <c r="E80" s="211">
        <f>E78-E72</f>
        <v>0</v>
      </c>
    </row>
    <row r="81" spans="1:5" ht="13" x14ac:dyDescent="0.3">
      <c r="A81" s="206" t="s">
        <v>279</v>
      </c>
      <c r="B81" s="207">
        <f>'Stage 11'!H$53</f>
        <v>0</v>
      </c>
      <c r="C81" s="206">
        <f>'Stage 11'!H$54</f>
        <v>0</v>
      </c>
      <c r="D81" s="5" t="s">
        <v>359</v>
      </c>
      <c r="E81" s="211" t="e">
        <f>E80/E79*100</f>
        <v>#DIV/0!</v>
      </c>
    </row>
    <row r="82" spans="1:5" ht="13" x14ac:dyDescent="0.3">
      <c r="A82" s="206" t="s">
        <v>279</v>
      </c>
      <c r="B82" s="207">
        <f>'Stage 11'!H$53</f>
        <v>0</v>
      </c>
      <c r="C82" s="206">
        <f>'Stage 11'!H$54</f>
        <v>0</v>
      </c>
      <c r="D82" s="5" t="s">
        <v>367</v>
      </c>
      <c r="E82" s="212" t="e">
        <f>E79/E$7</f>
        <v>#DIV/0!</v>
      </c>
    </row>
    <row r="83" spans="1:5" ht="13" x14ac:dyDescent="0.3">
      <c r="A83" s="206" t="s">
        <v>279</v>
      </c>
      <c r="B83" s="207">
        <f>'Stage 11'!H$53</f>
        <v>0</v>
      </c>
      <c r="C83" s="206">
        <f>'Stage 11'!H$54</f>
        <v>0</v>
      </c>
      <c r="D83" s="5" t="s">
        <v>368</v>
      </c>
      <c r="E83" s="211" t="e">
        <f>E80/E82</f>
        <v>#DIV/0!</v>
      </c>
    </row>
    <row r="84" spans="1:5" ht="13" x14ac:dyDescent="0.3">
      <c r="A84" s="208" t="s">
        <v>287</v>
      </c>
      <c r="B84" s="213">
        <f>'Stage 12'!J$53</f>
        <v>0</v>
      </c>
      <c r="C84" s="208">
        <f>'Stage 12'!J$54</f>
        <v>0</v>
      </c>
      <c r="D84" s="204" t="s">
        <v>357</v>
      </c>
      <c r="E84" s="209">
        <f>'Stage 12'!K80</f>
        <v>0</v>
      </c>
    </row>
    <row r="85" spans="1:5" ht="13" x14ac:dyDescent="0.3">
      <c r="A85" s="208" t="s">
        <v>287</v>
      </c>
      <c r="B85" s="213"/>
      <c r="C85" s="208"/>
      <c r="D85" s="204" t="s">
        <v>365</v>
      </c>
      <c r="E85" s="204">
        <f>IF('Stage 12'!AQ5="y",'Stage 12'!BC13,'Stage 12'!CE6)</f>
        <v>0</v>
      </c>
    </row>
    <row r="86" spans="1:5" ht="13" x14ac:dyDescent="0.3">
      <c r="A86" s="208" t="s">
        <v>287</v>
      </c>
      <c r="B86" s="213"/>
      <c r="C86" s="208"/>
      <c r="D86" s="204" t="s">
        <v>366</v>
      </c>
      <c r="E86" s="209">
        <f>E84-E78</f>
        <v>0</v>
      </c>
    </row>
    <row r="87" spans="1:5" ht="13" x14ac:dyDescent="0.3">
      <c r="A87" s="208" t="s">
        <v>287</v>
      </c>
      <c r="B87" s="213"/>
      <c r="C87" s="208"/>
      <c r="D87" s="204" t="s">
        <v>359</v>
      </c>
      <c r="E87" s="209" t="e">
        <f>E86/E85*100</f>
        <v>#DIV/0!</v>
      </c>
    </row>
    <row r="88" spans="1:5" ht="13" x14ac:dyDescent="0.3">
      <c r="A88" s="208" t="s">
        <v>287</v>
      </c>
      <c r="B88" s="213"/>
      <c r="C88" s="208"/>
      <c r="D88" s="204" t="s">
        <v>367</v>
      </c>
      <c r="E88" s="210" t="e">
        <f>E85/E$7</f>
        <v>#DIV/0!</v>
      </c>
    </row>
    <row r="89" spans="1:5" ht="13" x14ac:dyDescent="0.3">
      <c r="A89" s="208" t="s">
        <v>287</v>
      </c>
      <c r="B89" s="213"/>
      <c r="C89" s="208"/>
      <c r="D89" s="204" t="s">
        <v>368</v>
      </c>
      <c r="E89" s="209" t="e">
        <f>E86/E88</f>
        <v>#DIV/0!</v>
      </c>
    </row>
    <row r="90" spans="1:5" ht="13" x14ac:dyDescent="0.3">
      <c r="A90" s="206" t="s">
        <v>288</v>
      </c>
      <c r="B90" s="207">
        <f>'Stage 13'!L$53</f>
        <v>0</v>
      </c>
      <c r="C90" s="206">
        <f>'Stage 13'!L$54</f>
        <v>0</v>
      </c>
      <c r="D90" s="5" t="s">
        <v>357</v>
      </c>
      <c r="E90" s="211">
        <f>'Stage 13'!M80</f>
        <v>0</v>
      </c>
    </row>
    <row r="91" spans="1:5" ht="13" x14ac:dyDescent="0.3">
      <c r="A91" s="206" t="s">
        <v>288</v>
      </c>
      <c r="B91" s="207">
        <f>'Stage 13'!L$53</f>
        <v>0</v>
      </c>
      <c r="C91" s="206">
        <f>'Stage 13'!L$54</f>
        <v>0</v>
      </c>
      <c r="D91" s="5" t="s">
        <v>365</v>
      </c>
      <c r="E91" s="5">
        <f>IF('Stage 13'!AQ5="y",'Stage 13'!BC13,'Stage 13'!CE6)</f>
        <v>0</v>
      </c>
    </row>
    <row r="92" spans="1:5" ht="13" x14ac:dyDescent="0.3">
      <c r="A92" s="206" t="s">
        <v>288</v>
      </c>
      <c r="B92" s="207">
        <f>'Stage 13'!L$53</f>
        <v>0</v>
      </c>
      <c r="C92" s="206">
        <f>'Stage 13'!L$54</f>
        <v>0</v>
      </c>
      <c r="D92" s="5" t="s">
        <v>366</v>
      </c>
      <c r="E92" s="211">
        <f>E90-E84</f>
        <v>0</v>
      </c>
    </row>
    <row r="93" spans="1:5" ht="13" x14ac:dyDescent="0.3">
      <c r="A93" s="206" t="s">
        <v>288</v>
      </c>
      <c r="B93" s="207">
        <f>'Stage 13'!L$53</f>
        <v>0</v>
      </c>
      <c r="C93" s="206">
        <f>'Stage 13'!L$54</f>
        <v>0</v>
      </c>
      <c r="D93" s="5" t="s">
        <v>359</v>
      </c>
      <c r="E93" s="211" t="e">
        <f>E92/E91*100</f>
        <v>#DIV/0!</v>
      </c>
    </row>
    <row r="94" spans="1:5" ht="13" x14ac:dyDescent="0.3">
      <c r="A94" s="206" t="s">
        <v>288</v>
      </c>
      <c r="B94" s="207">
        <f>'Stage 13'!L$53</f>
        <v>0</v>
      </c>
      <c r="C94" s="206">
        <f>'Stage 13'!L$54</f>
        <v>0</v>
      </c>
      <c r="D94" s="5" t="s">
        <v>367</v>
      </c>
      <c r="E94" s="212" t="e">
        <f>E91/E$7</f>
        <v>#DIV/0!</v>
      </c>
    </row>
    <row r="95" spans="1:5" ht="13" x14ac:dyDescent="0.3">
      <c r="A95" s="206" t="s">
        <v>288</v>
      </c>
      <c r="B95" s="207">
        <f>'Stage 13'!L$53</f>
        <v>0</v>
      </c>
      <c r="C95" s="206">
        <f>'Stage 13'!L$54</f>
        <v>0</v>
      </c>
      <c r="D95" s="5" t="s">
        <v>368</v>
      </c>
      <c r="E95" s="211" t="e">
        <f>E92/E94</f>
        <v>#DIV/0!</v>
      </c>
    </row>
    <row r="96" spans="1:5" ht="13" x14ac:dyDescent="0.3">
      <c r="A96" s="208" t="s">
        <v>289</v>
      </c>
      <c r="B96" s="213">
        <f>'Stage 14'!N$53</f>
        <v>0</v>
      </c>
      <c r="C96" s="208">
        <f>'Stage 14'!N$54</f>
        <v>0</v>
      </c>
      <c r="D96" s="204" t="s">
        <v>357</v>
      </c>
      <c r="E96" s="209">
        <f>'Stage 14'!O80</f>
        <v>0</v>
      </c>
    </row>
    <row r="97" spans="1:5" ht="13" x14ac:dyDescent="0.3">
      <c r="A97" s="208" t="s">
        <v>289</v>
      </c>
      <c r="B97" s="213">
        <f>'Stage 14'!N$53</f>
        <v>0</v>
      </c>
      <c r="C97" s="208">
        <f>'Stage 14'!N$54</f>
        <v>0</v>
      </c>
      <c r="D97" s="204" t="s">
        <v>365</v>
      </c>
      <c r="E97" s="204">
        <f>IF('Stage 14'!AQ5="y",'Stage 14'!BC13,'Stage 14'!CE6)</f>
        <v>0</v>
      </c>
    </row>
    <row r="98" spans="1:5" ht="13" x14ac:dyDescent="0.3">
      <c r="A98" s="208" t="s">
        <v>289</v>
      </c>
      <c r="B98" s="213">
        <f>'Stage 14'!N$53</f>
        <v>0</v>
      </c>
      <c r="C98" s="208">
        <f>'Stage 14'!N$54</f>
        <v>0</v>
      </c>
      <c r="D98" s="204" t="s">
        <v>366</v>
      </c>
      <c r="E98" s="209">
        <f>E96-E90</f>
        <v>0</v>
      </c>
    </row>
    <row r="99" spans="1:5" ht="13" x14ac:dyDescent="0.3">
      <c r="A99" s="208" t="s">
        <v>289</v>
      </c>
      <c r="B99" s="213">
        <f>'Stage 14'!N$53</f>
        <v>0</v>
      </c>
      <c r="C99" s="208">
        <f>'Stage 14'!N$54</f>
        <v>0</v>
      </c>
      <c r="D99" s="204" t="s">
        <v>359</v>
      </c>
      <c r="E99" s="209" t="e">
        <f>E98/E97*100</f>
        <v>#DIV/0!</v>
      </c>
    </row>
    <row r="100" spans="1:5" ht="13" x14ac:dyDescent="0.3">
      <c r="A100" s="208" t="s">
        <v>289</v>
      </c>
      <c r="B100" s="213">
        <f>'Stage 14'!N$53</f>
        <v>0</v>
      </c>
      <c r="C100" s="208">
        <f>'Stage 14'!N$54</f>
        <v>0</v>
      </c>
      <c r="D100" s="204" t="s">
        <v>367</v>
      </c>
      <c r="E100" s="210" t="e">
        <f>E97/E$7</f>
        <v>#DIV/0!</v>
      </c>
    </row>
    <row r="101" spans="1:5" ht="13" x14ac:dyDescent="0.3">
      <c r="A101" s="208" t="s">
        <v>289</v>
      </c>
      <c r="B101" s="213">
        <f>'Stage 14'!N$53</f>
        <v>0</v>
      </c>
      <c r="C101" s="208">
        <f>'Stage 14'!N$54</f>
        <v>0</v>
      </c>
      <c r="D101" s="204" t="s">
        <v>368</v>
      </c>
      <c r="E101" s="209" t="e">
        <f>E98/E100</f>
        <v>#DIV/0!</v>
      </c>
    </row>
    <row r="102" spans="1:5" ht="13" x14ac:dyDescent="0.3">
      <c r="A102" s="206" t="s">
        <v>290</v>
      </c>
      <c r="B102" s="207">
        <f>'Stage 15'!P$53</f>
        <v>0</v>
      </c>
      <c r="C102" s="206">
        <f>'Stage 15'!P$54</f>
        <v>0</v>
      </c>
      <c r="D102" s="5" t="s">
        <v>357</v>
      </c>
      <c r="E102" s="211">
        <f>'Stage 15'!Q80</f>
        <v>0</v>
      </c>
    </row>
    <row r="103" spans="1:5" ht="13" x14ac:dyDescent="0.3">
      <c r="A103" s="206" t="s">
        <v>290</v>
      </c>
      <c r="B103" s="207">
        <f>'Stage 15'!P$53</f>
        <v>0</v>
      </c>
      <c r="C103" s="206">
        <f>'Stage 15'!P$54</f>
        <v>0</v>
      </c>
      <c r="D103" s="5" t="s">
        <v>365</v>
      </c>
      <c r="E103" s="5">
        <f>IF('Stage 15'!AQ5="y",'Stage 15'!BC13,'Stage 15'!CE6)</f>
        <v>0</v>
      </c>
    </row>
    <row r="104" spans="1:5" ht="13" x14ac:dyDescent="0.3">
      <c r="A104" s="206" t="s">
        <v>290</v>
      </c>
      <c r="B104" s="207">
        <f>'Stage 15'!P$53</f>
        <v>0</v>
      </c>
      <c r="C104" s="206">
        <f>'Stage 15'!P$54</f>
        <v>0</v>
      </c>
      <c r="D104" s="5" t="s">
        <v>366</v>
      </c>
      <c r="E104" s="211">
        <f>E102-E96</f>
        <v>0</v>
      </c>
    </row>
    <row r="105" spans="1:5" ht="13" x14ac:dyDescent="0.3">
      <c r="A105" s="206" t="s">
        <v>290</v>
      </c>
      <c r="B105" s="207">
        <f>'Stage 15'!P$53</f>
        <v>0</v>
      </c>
      <c r="C105" s="206">
        <f>'Stage 15'!P$54</f>
        <v>0</v>
      </c>
      <c r="D105" s="5" t="s">
        <v>359</v>
      </c>
      <c r="E105" s="211" t="e">
        <f>E104/E103*100</f>
        <v>#DIV/0!</v>
      </c>
    </row>
    <row r="106" spans="1:5" ht="13" x14ac:dyDescent="0.3">
      <c r="A106" s="206" t="s">
        <v>290</v>
      </c>
      <c r="B106" s="207">
        <f>'Stage 15'!P$53</f>
        <v>0</v>
      </c>
      <c r="C106" s="206">
        <f>'Stage 15'!P$54</f>
        <v>0</v>
      </c>
      <c r="D106" s="5" t="s">
        <v>367</v>
      </c>
      <c r="E106" s="212" t="e">
        <f>E103/E$7</f>
        <v>#DIV/0!</v>
      </c>
    </row>
    <row r="107" spans="1:5" ht="13" x14ac:dyDescent="0.3">
      <c r="A107" s="206" t="s">
        <v>290</v>
      </c>
      <c r="B107" s="207">
        <f>'Stage 15'!P$53</f>
        <v>0</v>
      </c>
      <c r="C107" s="206">
        <f>'Stage 15'!P$54</f>
        <v>0</v>
      </c>
      <c r="D107" s="5" t="s">
        <v>368</v>
      </c>
      <c r="E107" s="211" t="e">
        <f>E104/E106</f>
        <v>#DIV/0!</v>
      </c>
    </row>
    <row r="108" spans="1:5" ht="13" x14ac:dyDescent="0.3">
      <c r="A108" s="208" t="s">
        <v>291</v>
      </c>
      <c r="B108" s="213">
        <f>'Stage 16'!R$53</f>
        <v>0</v>
      </c>
      <c r="C108" s="208">
        <f>'Stage 16'!R$54</f>
        <v>0</v>
      </c>
      <c r="D108" s="204" t="s">
        <v>357</v>
      </c>
      <c r="E108" s="209">
        <f>'Stage 16'!S80</f>
        <v>0</v>
      </c>
    </row>
    <row r="109" spans="1:5" ht="13" x14ac:dyDescent="0.3">
      <c r="A109" s="208" t="s">
        <v>291</v>
      </c>
      <c r="B109" s="213">
        <f>'Stage 16'!R$53</f>
        <v>0</v>
      </c>
      <c r="C109" s="208">
        <f>'Stage 16'!R$54</f>
        <v>0</v>
      </c>
      <c r="D109" s="204" t="s">
        <v>365</v>
      </c>
      <c r="E109" s="204">
        <f>IF('Stage 16'!AQ5="y",'Stage 16'!BC13,'Stage 16'!CE6)</f>
        <v>0</v>
      </c>
    </row>
    <row r="110" spans="1:5" ht="13" x14ac:dyDescent="0.3">
      <c r="A110" s="208" t="s">
        <v>291</v>
      </c>
      <c r="B110" s="213">
        <f>'Stage 16'!R$53</f>
        <v>0</v>
      </c>
      <c r="C110" s="208">
        <f>'Stage 16'!R$54</f>
        <v>0</v>
      </c>
      <c r="D110" s="204" t="s">
        <v>366</v>
      </c>
      <c r="E110" s="209">
        <f>E108-E102</f>
        <v>0</v>
      </c>
    </row>
    <row r="111" spans="1:5" ht="13" x14ac:dyDescent="0.3">
      <c r="A111" s="208" t="s">
        <v>291</v>
      </c>
      <c r="B111" s="213">
        <f>'Stage 16'!R$53</f>
        <v>0</v>
      </c>
      <c r="C111" s="208">
        <f>'Stage 16'!R$54</f>
        <v>0</v>
      </c>
      <c r="D111" s="204" t="s">
        <v>359</v>
      </c>
      <c r="E111" s="209" t="e">
        <f>E110/E109*100</f>
        <v>#DIV/0!</v>
      </c>
    </row>
    <row r="112" spans="1:5" ht="13" x14ac:dyDescent="0.3">
      <c r="A112" s="208" t="s">
        <v>291</v>
      </c>
      <c r="B112" s="213">
        <f>'Stage 16'!R$53</f>
        <v>0</v>
      </c>
      <c r="C112" s="208">
        <f>'Stage 16'!R$54</f>
        <v>0</v>
      </c>
      <c r="D112" s="204" t="s">
        <v>367</v>
      </c>
      <c r="E112" s="210" t="e">
        <f>E109/E$7</f>
        <v>#DIV/0!</v>
      </c>
    </row>
    <row r="113" spans="1:5" ht="13" x14ac:dyDescent="0.3">
      <c r="A113" s="208" t="s">
        <v>291</v>
      </c>
      <c r="B113" s="213">
        <f>'Stage 16'!R$53</f>
        <v>0</v>
      </c>
      <c r="C113" s="208">
        <f>'Stage 16'!R$54</f>
        <v>0</v>
      </c>
      <c r="D113" s="204" t="s">
        <v>368</v>
      </c>
      <c r="E113" s="209" t="e">
        <f>E110/E112</f>
        <v>#DIV/0!</v>
      </c>
    </row>
    <row r="114" spans="1:5" ht="13" x14ac:dyDescent="0.3">
      <c r="A114" s="206" t="s">
        <v>292</v>
      </c>
      <c r="B114" s="207">
        <f>'Stage 17'!T$53</f>
        <v>0</v>
      </c>
      <c r="C114" s="206">
        <f>'Stage 17'!T$54</f>
        <v>0</v>
      </c>
      <c r="D114" s="5" t="s">
        <v>357</v>
      </c>
      <c r="E114" s="211">
        <f>'Stage 17'!U80</f>
        <v>0</v>
      </c>
    </row>
    <row r="115" spans="1:5" ht="13" x14ac:dyDescent="0.3">
      <c r="A115" s="206" t="s">
        <v>292</v>
      </c>
      <c r="B115" s="207">
        <f>'Stage 17'!T$53</f>
        <v>0</v>
      </c>
      <c r="C115" s="206">
        <f>'Stage 17'!T$54</f>
        <v>0</v>
      </c>
      <c r="D115" s="5" t="s">
        <v>365</v>
      </c>
      <c r="E115" s="5">
        <f>IF('Stage 17'!AQ5="y",'Stage 17'!BC13,'Stage 17'!CE6)</f>
        <v>0</v>
      </c>
    </row>
    <row r="116" spans="1:5" ht="13" x14ac:dyDescent="0.3">
      <c r="A116" s="206" t="s">
        <v>292</v>
      </c>
      <c r="B116" s="207">
        <f>'Stage 17'!T$53</f>
        <v>0</v>
      </c>
      <c r="C116" s="206">
        <f>'Stage 17'!T$54</f>
        <v>0</v>
      </c>
      <c r="D116" s="5" t="s">
        <v>366</v>
      </c>
      <c r="E116" s="211">
        <f>E114-E108</f>
        <v>0</v>
      </c>
    </row>
    <row r="117" spans="1:5" ht="13" x14ac:dyDescent="0.3">
      <c r="A117" s="206" t="s">
        <v>292</v>
      </c>
      <c r="B117" s="207">
        <f>'Stage 17'!T$53</f>
        <v>0</v>
      </c>
      <c r="C117" s="206">
        <f>'Stage 17'!T$54</f>
        <v>0</v>
      </c>
      <c r="D117" s="5" t="s">
        <v>359</v>
      </c>
      <c r="E117" s="211" t="e">
        <f>E116/E115*100</f>
        <v>#DIV/0!</v>
      </c>
    </row>
    <row r="118" spans="1:5" ht="13" x14ac:dyDescent="0.3">
      <c r="A118" s="206" t="s">
        <v>292</v>
      </c>
      <c r="B118" s="207">
        <f>'Stage 17'!T$53</f>
        <v>0</v>
      </c>
      <c r="C118" s="206">
        <f>'Stage 17'!T$54</f>
        <v>0</v>
      </c>
      <c r="D118" s="5" t="s">
        <v>367</v>
      </c>
      <c r="E118" s="212" t="e">
        <f>E115/E$7</f>
        <v>#DIV/0!</v>
      </c>
    </row>
    <row r="119" spans="1:5" ht="13" x14ac:dyDescent="0.3">
      <c r="A119" s="206" t="s">
        <v>292</v>
      </c>
      <c r="B119" s="207">
        <f>'Stage 17'!T$53</f>
        <v>0</v>
      </c>
      <c r="C119" s="206">
        <f>'Stage 17'!T$54</f>
        <v>0</v>
      </c>
      <c r="D119" s="5" t="s">
        <v>368</v>
      </c>
      <c r="E119" s="211" t="e">
        <f>E116/E118</f>
        <v>#DIV/0!</v>
      </c>
    </row>
    <row r="120" spans="1:5" ht="13" x14ac:dyDescent="0.3">
      <c r="A120" s="208" t="s">
        <v>293</v>
      </c>
      <c r="B120" s="213">
        <f>'Stage 18'!V$53</f>
        <v>0</v>
      </c>
      <c r="C120" s="208">
        <f>'Stage 18'!V$54</f>
        <v>0</v>
      </c>
      <c r="D120" s="204" t="s">
        <v>357</v>
      </c>
      <c r="E120" s="209">
        <f>'Stage 18'!W80</f>
        <v>0</v>
      </c>
    </row>
    <row r="121" spans="1:5" ht="13" x14ac:dyDescent="0.3">
      <c r="A121" s="208" t="s">
        <v>293</v>
      </c>
      <c r="B121" s="213">
        <f>'Stage 18'!V$53</f>
        <v>0</v>
      </c>
      <c r="C121" s="208">
        <f>'Stage 18'!V$54</f>
        <v>0</v>
      </c>
      <c r="D121" s="204" t="s">
        <v>365</v>
      </c>
      <c r="E121" s="204">
        <f>IF('Stage 18'!AQ5="y",'Stage 18'!BC13,'Stage 18'!CE6)</f>
        <v>0</v>
      </c>
    </row>
    <row r="122" spans="1:5" ht="13" x14ac:dyDescent="0.3">
      <c r="A122" s="208" t="s">
        <v>293</v>
      </c>
      <c r="B122" s="213">
        <f>'Stage 18'!V$53</f>
        <v>0</v>
      </c>
      <c r="C122" s="208">
        <f>'Stage 18'!V$54</f>
        <v>0</v>
      </c>
      <c r="D122" s="204" t="s">
        <v>366</v>
      </c>
      <c r="E122" s="209">
        <f>E120-E114</f>
        <v>0</v>
      </c>
    </row>
    <row r="123" spans="1:5" ht="13" x14ac:dyDescent="0.3">
      <c r="A123" s="208" t="s">
        <v>293</v>
      </c>
      <c r="B123" s="213">
        <f>'Stage 18'!V$53</f>
        <v>0</v>
      </c>
      <c r="C123" s="208">
        <f>'Stage 18'!V$54</f>
        <v>0</v>
      </c>
      <c r="D123" s="204" t="s">
        <v>359</v>
      </c>
      <c r="E123" s="209" t="e">
        <f>E122/E121*100</f>
        <v>#DIV/0!</v>
      </c>
    </row>
    <row r="124" spans="1:5" ht="13" x14ac:dyDescent="0.3">
      <c r="A124" s="208" t="s">
        <v>293</v>
      </c>
      <c r="B124" s="213">
        <f>'Stage 18'!V$53</f>
        <v>0</v>
      </c>
      <c r="C124" s="208">
        <f>'Stage 18'!V$54</f>
        <v>0</v>
      </c>
      <c r="D124" s="204" t="s">
        <v>367</v>
      </c>
      <c r="E124" s="210" t="e">
        <f>E121/E$7</f>
        <v>#DIV/0!</v>
      </c>
    </row>
    <row r="125" spans="1:5" ht="13" x14ac:dyDescent="0.3">
      <c r="A125" s="208" t="s">
        <v>293</v>
      </c>
      <c r="B125" s="213">
        <f>'Stage 18'!V$53</f>
        <v>0</v>
      </c>
      <c r="C125" s="208">
        <f>'Stage 18'!V$54</f>
        <v>0</v>
      </c>
      <c r="D125" s="204" t="s">
        <v>368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241"/>
  <sheetViews>
    <sheetView showGridLines="0" showZeros="0" zoomScale="75" workbookViewId="0">
      <pane ySplit="6" topLeftCell="A11" activePane="bottomLeft" state="frozen"/>
      <selection pane="bottomLeft" activeCell="N11" sqref="N11:R12"/>
    </sheetView>
  </sheetViews>
  <sheetFormatPr defaultRowHeight="12.5" x14ac:dyDescent="0.25"/>
  <cols>
    <col min="1" max="1" width="32.1796875" customWidth="1"/>
    <col min="3" max="3" width="23.1796875" customWidth="1"/>
    <col min="4" max="4" width="10.81640625" customWidth="1"/>
    <col min="6" max="6" width="11.54296875" customWidth="1"/>
    <col min="8" max="8" width="2.453125" customWidth="1"/>
    <col min="9" max="9" width="2.1796875" customWidth="1"/>
    <col min="10" max="10" width="19.1796875" customWidth="1"/>
    <col min="11" max="11" width="42.453125" customWidth="1"/>
    <col min="13" max="13" width="4.72656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68</v>
      </c>
      <c r="B1" s="277" t="str">
        <f>'Basic Input'!C4</f>
        <v>Local Council Elections 2023</v>
      </c>
      <c r="C1" s="279"/>
      <c r="D1" s="279"/>
      <c r="E1" s="278"/>
      <c r="DA1">
        <v>1</v>
      </c>
    </row>
    <row r="2" spans="1:105" ht="13" thickBot="1" x14ac:dyDescent="0.3">
      <c r="J2" s="59" t="s">
        <v>69</v>
      </c>
      <c r="K2" s="60"/>
      <c r="L2" s="29">
        <f>'Basic Input'!C31</f>
        <v>18120</v>
      </c>
    </row>
    <row r="3" spans="1:105" ht="18.5" thickBot="1" x14ac:dyDescent="0.45">
      <c r="A3" s="36" t="str">
        <f>'Basic Input'!B6</f>
        <v>District Electoral Area of</v>
      </c>
      <c r="B3" s="277" t="str">
        <f>'Basic Input'!C6</f>
        <v>Castlereagh South</v>
      </c>
      <c r="C3" s="278"/>
      <c r="E3" s="275" t="s">
        <v>66</v>
      </c>
      <c r="F3" s="276"/>
      <c r="G3" s="29">
        <f>'Basic Input'!C30</f>
        <v>7</v>
      </c>
      <c r="J3" s="61" t="s">
        <v>70</v>
      </c>
      <c r="K3" s="19"/>
      <c r="L3" s="20">
        <f>D7</f>
        <v>10280</v>
      </c>
    </row>
    <row r="4" spans="1:105" ht="13" thickBot="1" x14ac:dyDescent="0.3">
      <c r="E4" s="275" t="s">
        <v>71</v>
      </c>
      <c r="F4" s="276"/>
      <c r="G4" s="21">
        <f>TRUNC(L31/(G3+1))+1</f>
        <v>1274</v>
      </c>
      <c r="J4" s="61" t="s">
        <v>72</v>
      </c>
      <c r="K4" s="19"/>
      <c r="L4" s="20">
        <f>L35</f>
        <v>10280</v>
      </c>
    </row>
    <row r="5" spans="1:105" ht="13" thickBot="1" x14ac:dyDescent="0.3">
      <c r="J5" s="51" t="s">
        <v>73</v>
      </c>
      <c r="K5" s="62"/>
      <c r="L5" s="58">
        <f>IF(L2=0,0,L3/L2*100)</f>
        <v>56.732891832229583</v>
      </c>
      <c r="M5" t="s">
        <v>74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75</v>
      </c>
      <c r="B7" s="239"/>
      <c r="C7" s="240"/>
      <c r="D7" s="240">
        <f>SUM(D8:D160)</f>
        <v>10280</v>
      </c>
      <c r="E7" s="241"/>
    </row>
    <row r="8" spans="1:105" ht="13.5" thickBot="1" x14ac:dyDescent="0.35">
      <c r="A8" s="282" t="s">
        <v>76</v>
      </c>
      <c r="B8" s="283"/>
      <c r="C8" s="284"/>
      <c r="D8" s="237">
        <v>10280</v>
      </c>
      <c r="J8" s="52" t="s">
        <v>77</v>
      </c>
      <c r="K8" s="53"/>
      <c r="L8" s="54"/>
      <c r="N8" s="267" t="s">
        <v>78</v>
      </c>
      <c r="O8" s="268"/>
      <c r="P8" s="268"/>
      <c r="Q8" s="268"/>
      <c r="R8" s="269"/>
    </row>
    <row r="9" spans="1:105" ht="13" thickBot="1" x14ac:dyDescent="0.3">
      <c r="A9" s="224" t="s">
        <v>79</v>
      </c>
      <c r="B9" s="225"/>
      <c r="C9" s="225"/>
      <c r="D9" s="225"/>
      <c r="E9" s="225"/>
      <c r="J9" s="11" t="s">
        <v>44</v>
      </c>
      <c r="K9" s="55" t="s">
        <v>45</v>
      </c>
      <c r="L9" s="54" t="s">
        <v>80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BASSETT</v>
      </c>
      <c r="K10" s="106" t="str">
        <f>'Basic Input'!C9</f>
        <v>Sinn Féin</v>
      </c>
      <c r="L10" s="64">
        <v>997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CARLIN</v>
      </c>
      <c r="K11" s="75" t="str">
        <f>'Basic Input'!C10</f>
        <v>Sinn Féin</v>
      </c>
      <c r="L11" s="64">
        <v>1204</v>
      </c>
      <c r="N11" s="267" t="s">
        <v>81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EATON</v>
      </c>
      <c r="K12" s="75" t="str">
        <f>'Basic Input'!C11</f>
        <v>Alliance Party</v>
      </c>
      <c r="L12" s="64">
        <v>1116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GALLEN</v>
      </c>
      <c r="K13" s="75" t="str">
        <f>'Basic Input'!C12</f>
        <v>SDLP</v>
      </c>
      <c r="L13" s="64">
        <v>1035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GUY</v>
      </c>
      <c r="K14" s="75" t="str">
        <f>'Basic Input'!C13</f>
        <v>Alliance Party</v>
      </c>
      <c r="L14" s="64">
        <v>1452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HAMLEY</v>
      </c>
      <c r="K15" s="75" t="str">
        <f>'Basic Input'!C14</f>
        <v>Green Party NI</v>
      </c>
      <c r="L15" s="64">
        <v>656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HENDERSON</v>
      </c>
      <c r="K16" s="75" t="str">
        <f>'Basic Input'!C15</f>
        <v>UUP</v>
      </c>
      <c r="L16" s="64">
        <v>760</v>
      </c>
      <c r="N16" t="s">
        <v>82</v>
      </c>
      <c r="Q16" s="183">
        <v>0.33333333333333331</v>
      </c>
      <c r="R16" s="74" t="s">
        <v>83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HIGGINSON</v>
      </c>
      <c r="K17" s="75" t="str">
        <f>'Basic Input'!C16</f>
        <v>D.U.P.</v>
      </c>
      <c r="L17" s="64">
        <v>1006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 t="str">
        <f>'Basic Input'!B17</f>
        <v>LEE</v>
      </c>
      <c r="K18" s="75" t="str">
        <f>'Basic Input'!C17</f>
        <v xml:space="preserve">SDLP </v>
      </c>
      <c r="L18" s="64">
        <v>656</v>
      </c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 t="str">
        <f>'Basic Input'!B18</f>
        <v>MCKEEVER</v>
      </c>
      <c r="K19" s="75" t="str">
        <f>'Basic Input'!C18</f>
        <v>Alliance Party</v>
      </c>
      <c r="L19" s="64">
        <v>727</v>
      </c>
      <c r="N19" t="s">
        <v>84</v>
      </c>
      <c r="Q19" s="183">
        <v>0.41666666666666669</v>
      </c>
      <c r="R19" s="74" t="s">
        <v>83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 t="str">
        <f>'Basic Input'!B19</f>
        <v>MILLER</v>
      </c>
      <c r="K20" s="75" t="str">
        <f>'Basic Input'!C19</f>
        <v>Independent</v>
      </c>
      <c r="L20" s="64">
        <v>49</v>
      </c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 t="str">
        <f>'Basic Input'!B20</f>
        <v>TRAYNOR</v>
      </c>
      <c r="K21" s="75" t="str">
        <f>'Basic Input'!C20</f>
        <v>D.U.P.</v>
      </c>
      <c r="L21" s="64">
        <v>527</v>
      </c>
      <c r="N21" s="285" t="str">
        <f>IF(L35=D7,"Calculations OK","Check Count")</f>
        <v>Calculations OK</v>
      </c>
      <c r="O21" s="286"/>
      <c r="P21" s="286"/>
      <c r="Q21" s="287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85</v>
      </c>
      <c r="Q23" s="183">
        <v>0.41666666666666669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86</v>
      </c>
      <c r="Q25" s="183">
        <v>0.54166666666666663</v>
      </c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80" t="s">
        <v>87</v>
      </c>
      <c r="K31" s="281"/>
      <c r="L31" s="12">
        <f>SUM(L10:L29)</f>
        <v>10185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80" t="s">
        <v>88</v>
      </c>
      <c r="K33" s="281"/>
      <c r="L33" s="57">
        <v>95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80" t="s">
        <v>89</v>
      </c>
      <c r="K35" s="281"/>
      <c r="L35" s="12">
        <f>L31+L33</f>
        <v>10280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8" t="str">
        <f>B1</f>
        <v>Local Council Elections 2023</v>
      </c>
      <c r="DB209" s="289"/>
      <c r="DC209" s="289"/>
      <c r="DD209" s="289"/>
      <c r="DE209" s="289"/>
      <c r="DF209" s="289"/>
      <c r="DG209" s="289"/>
      <c r="DH209" s="289"/>
      <c r="DI209" s="289"/>
      <c r="DJ209" s="289"/>
      <c r="DK209" s="289"/>
      <c r="DL209" s="289"/>
    </row>
    <row r="210" spans="105:116" ht="28" x14ac:dyDescent="0.8">
      <c r="DA210" s="288" t="str">
        <f>A3&amp;" "&amp;B3</f>
        <v>District Electoral Area of Castlereagh South</v>
      </c>
      <c r="DB210" s="289"/>
      <c r="DC210" s="289"/>
      <c r="DD210" s="289"/>
      <c r="DE210" s="289"/>
      <c r="DF210" s="289"/>
      <c r="DG210" s="289"/>
      <c r="DH210" s="289"/>
      <c r="DI210" s="289"/>
      <c r="DJ210" s="289"/>
      <c r="DK210" s="289"/>
      <c r="DL210" s="289"/>
    </row>
    <row r="212" spans="105:116" x14ac:dyDescent="0.25">
      <c r="DA212" s="290" t="s">
        <v>90</v>
      </c>
      <c r="DB212" s="290"/>
      <c r="DC212" s="290"/>
      <c r="DD212" s="290"/>
      <c r="DE212" s="290"/>
      <c r="DF212" s="290"/>
      <c r="DG212" s="290"/>
      <c r="DH212" s="290"/>
      <c r="DI212" s="290"/>
      <c r="DJ212" s="290"/>
      <c r="DK212" s="290"/>
      <c r="DL212" s="290"/>
    </row>
    <row r="213" spans="105:116" x14ac:dyDescent="0.25"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</row>
    <row r="214" spans="105:116" x14ac:dyDescent="0.25"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91" t="s">
        <v>91</v>
      </c>
      <c r="DC216" s="292"/>
      <c r="DD216" s="292"/>
      <c r="DE216" s="292"/>
      <c r="DF216" s="292"/>
      <c r="DG216" s="293">
        <f>L2</f>
        <v>18120</v>
      </c>
      <c r="DH216" s="293"/>
      <c r="DI216" s="293"/>
    </row>
    <row r="217" spans="105:116" ht="35" x14ac:dyDescent="0.7">
      <c r="DB217" s="291" t="s">
        <v>92</v>
      </c>
      <c r="DC217" s="292"/>
      <c r="DD217" s="292"/>
      <c r="DE217" s="292"/>
      <c r="DF217" s="292"/>
      <c r="DG217" s="293">
        <f>L3</f>
        <v>10280</v>
      </c>
      <c r="DH217" s="293"/>
      <c r="DI217" s="293"/>
    </row>
    <row r="218" spans="105:116" ht="35" x14ac:dyDescent="0.7">
      <c r="DB218" s="291" t="s">
        <v>93</v>
      </c>
      <c r="DC218" s="292"/>
      <c r="DD218" s="292"/>
      <c r="DE218" s="292"/>
      <c r="DF218" s="292"/>
      <c r="DG218" s="294">
        <f>DG217/DG216</f>
        <v>0.56732891832229582</v>
      </c>
      <c r="DH218" s="294"/>
      <c r="DI218" s="294"/>
    </row>
    <row r="231" spans="105:116" ht="28" x14ac:dyDescent="0.8">
      <c r="DA231" s="288" t="str">
        <f>B1</f>
        <v>Local Council Elections 2023</v>
      </c>
      <c r="DB231" s="289"/>
      <c r="DC231" s="289"/>
      <c r="DD231" s="289"/>
      <c r="DE231" s="289"/>
      <c r="DF231" s="289"/>
      <c r="DG231" s="289"/>
      <c r="DH231" s="289"/>
      <c r="DI231" s="289"/>
      <c r="DJ231" s="289"/>
      <c r="DK231" s="289"/>
      <c r="DL231" s="289"/>
    </row>
    <row r="232" spans="105:116" ht="28" x14ac:dyDescent="0.8">
      <c r="DA232" s="288" t="str">
        <f>A3&amp;" "&amp;B3</f>
        <v>District Electoral Area of Castlereagh South</v>
      </c>
      <c r="DB232" s="289"/>
      <c r="DC232" s="289"/>
      <c r="DD232" s="289"/>
      <c r="DE232" s="289"/>
      <c r="DF232" s="289"/>
      <c r="DG232" s="289"/>
      <c r="DH232" s="289"/>
      <c r="DI232" s="289"/>
      <c r="DJ232" s="289"/>
      <c r="DK232" s="289"/>
      <c r="DL232" s="289"/>
    </row>
    <row r="234" spans="105:116" x14ac:dyDescent="0.25">
      <c r="DA234" s="290" t="s">
        <v>94</v>
      </c>
      <c r="DB234" s="290"/>
      <c r="DC234" s="290"/>
      <c r="DD234" s="290"/>
      <c r="DE234" s="290"/>
      <c r="DF234" s="290"/>
      <c r="DG234" s="290"/>
      <c r="DH234" s="290"/>
      <c r="DI234" s="290"/>
      <c r="DJ234" s="290"/>
      <c r="DK234" s="290"/>
      <c r="DL234" s="290"/>
    </row>
    <row r="235" spans="105:116" x14ac:dyDescent="0.25"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0"/>
      <c r="DK235" s="290"/>
      <c r="DL235" s="290"/>
    </row>
    <row r="236" spans="105:116" x14ac:dyDescent="0.25"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91" t="s">
        <v>95</v>
      </c>
      <c r="DC238" s="292"/>
      <c r="DD238" s="292"/>
      <c r="DE238" s="292"/>
      <c r="DF238" s="292"/>
      <c r="DG238" s="293">
        <f>L3</f>
        <v>10280</v>
      </c>
      <c r="DH238" s="293"/>
      <c r="DI238" s="293"/>
    </row>
    <row r="239" spans="105:116" ht="35" x14ac:dyDescent="0.7">
      <c r="DB239" s="291" t="s">
        <v>96</v>
      </c>
      <c r="DC239" s="292"/>
      <c r="DD239" s="292"/>
      <c r="DE239" s="292"/>
      <c r="DF239" s="292"/>
      <c r="DG239" s="293">
        <f>L31</f>
        <v>10185</v>
      </c>
      <c r="DH239" s="293"/>
      <c r="DI239" s="293"/>
    </row>
    <row r="240" spans="105:116" ht="35" x14ac:dyDescent="0.7">
      <c r="DB240" s="295" t="s">
        <v>97</v>
      </c>
      <c r="DC240" s="296"/>
      <c r="DD240" s="296"/>
      <c r="DE240" s="296"/>
      <c r="DF240" s="297"/>
      <c r="DG240" s="298">
        <f>L33</f>
        <v>95</v>
      </c>
      <c r="DH240" s="299"/>
      <c r="DI240" s="300"/>
    </row>
    <row r="241" spans="106:113" ht="35" x14ac:dyDescent="0.7">
      <c r="DB241" s="295" t="s">
        <v>71</v>
      </c>
      <c r="DC241" s="296"/>
      <c r="DD241" s="296"/>
      <c r="DE241" s="296"/>
      <c r="DF241" s="297"/>
      <c r="DG241" s="293">
        <f>G4</f>
        <v>1274</v>
      </c>
      <c r="DH241" s="293"/>
      <c r="DI241" s="293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  <mergeCell ref="DB217:DF217"/>
    <mergeCell ref="DG217:DI217"/>
    <mergeCell ref="DB218:DF218"/>
    <mergeCell ref="DG218:DI218"/>
    <mergeCell ref="DA231:DL231"/>
    <mergeCell ref="DA209:DL209"/>
    <mergeCell ref="DA210:DL210"/>
    <mergeCell ref="DA212:DL214"/>
    <mergeCell ref="DB216:DF216"/>
    <mergeCell ref="DG216:DI216"/>
    <mergeCell ref="N21:Q21"/>
    <mergeCell ref="N8:R9"/>
    <mergeCell ref="N11:R12"/>
    <mergeCell ref="J33:K33"/>
    <mergeCell ref="J35:K35"/>
    <mergeCell ref="E4:F4"/>
    <mergeCell ref="E3:F3"/>
    <mergeCell ref="B3:C3"/>
    <mergeCell ref="B1:E1"/>
    <mergeCell ref="J31:K31"/>
    <mergeCell ref="A8:C8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DD232"/>
  <sheetViews>
    <sheetView showGridLines="0" showZeros="0" topLeftCell="D9" zoomScale="75" workbookViewId="0">
      <selection activeCell="I24" sqref="I2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5" max="25" width="5.542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11.81640625" customWidth="1"/>
    <col min="43" max="43" width="14.54296875" customWidth="1"/>
    <col min="44" max="44" width="7.7265625" customWidth="1"/>
    <col min="46" max="46" width="17.26953125" bestFit="1" customWidth="1"/>
    <col min="48" max="48" width="11.1796875" customWidth="1"/>
    <col min="50" max="50" width="49.81640625" customWidth="1"/>
    <col min="51" max="51" width="14.26953125" customWidth="1"/>
    <col min="52" max="52" width="3.26953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81640625" customWidth="1"/>
    <col min="59" max="59" width="11" customWidth="1"/>
    <col min="60" max="60" width="11.453125" customWidth="1"/>
    <col min="61" max="61" width="10.81640625" customWidth="1"/>
    <col min="65" max="65" width="10.54296875" customWidth="1"/>
    <col min="66" max="66" width="7.81640625" customWidth="1"/>
    <col min="67" max="67" width="1.7265625" customWidth="1"/>
    <col min="68" max="68" width="23.1796875" customWidth="1"/>
    <col min="81" max="81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98</v>
      </c>
      <c r="J1" s="85" t="s">
        <v>37</v>
      </c>
      <c r="K1" s="311">
        <f>'Basic Input'!C2</f>
        <v>45064</v>
      </c>
      <c r="L1" s="311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14" t="s">
        <v>99</v>
      </c>
      <c r="P2" s="315"/>
      <c r="Q2" s="315"/>
      <c r="R2" s="315"/>
      <c r="S2" s="316"/>
      <c r="Z2" s="305"/>
      <c r="AA2" s="305"/>
      <c r="AB2" s="305"/>
      <c r="AC2" s="305"/>
      <c r="AD2" s="305"/>
      <c r="AE2" s="305"/>
      <c r="AF2" s="305"/>
      <c r="AG2" s="28"/>
      <c r="AX2" s="10"/>
      <c r="BD2" s="26"/>
      <c r="BE2" s="3"/>
      <c r="BG2" s="306"/>
      <c r="BH2" s="306"/>
      <c r="BI2" s="306"/>
      <c r="BP2" s="36"/>
      <c r="BZ2" s="307"/>
      <c r="CA2" s="307"/>
      <c r="CB2" s="307"/>
      <c r="CC2" s="307"/>
    </row>
    <row r="3" spans="1:105" ht="18.75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/>
      <c r="AA3" s="305"/>
      <c r="AB3" s="305"/>
      <c r="AC3" s="305"/>
      <c r="AD3" s="305"/>
      <c r="AE3" s="305"/>
      <c r="AF3" s="305"/>
      <c r="AG3" s="36"/>
      <c r="AJ3" s="321"/>
      <c r="AK3" s="321"/>
      <c r="AL3" s="321"/>
      <c r="AM3" s="321"/>
      <c r="AN3" s="321"/>
      <c r="AO3" s="321"/>
      <c r="AP3" s="321"/>
      <c r="AQ3" s="36"/>
      <c r="AX3" s="10"/>
      <c r="BG3" s="306"/>
      <c r="BH3" s="306"/>
      <c r="BI3" s="306"/>
      <c r="BJ3" s="114"/>
      <c r="BP3" s="81"/>
      <c r="BQ3" s="81"/>
      <c r="BR3" s="309"/>
      <c r="BS3" s="309"/>
      <c r="BT3" s="309"/>
      <c r="BU3" s="309"/>
      <c r="BV3" s="309"/>
      <c r="BW3" s="309"/>
      <c r="BX3" s="309"/>
      <c r="BZ3" s="306"/>
      <c r="CA3" s="306"/>
      <c r="CB3" s="306"/>
      <c r="CC3" s="306"/>
    </row>
    <row r="4" spans="1:105" ht="27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14" t="s">
        <v>106</v>
      </c>
      <c r="P4" s="315"/>
      <c r="Q4" s="315"/>
      <c r="R4" s="315"/>
      <c r="S4" s="316"/>
      <c r="U4" s="324" t="str">
        <f>IF(G33="ERROR","DO NOT MOVE TO NEXT STAGE","OK TO MOVE TO NEXT STAGE")</f>
        <v>OK TO MOVE TO NEXT STAGE</v>
      </c>
      <c r="V4" s="324"/>
      <c r="W4" s="324"/>
      <c r="Z4" s="305"/>
      <c r="AA4" s="305"/>
      <c r="AB4" s="305"/>
      <c r="AC4" s="305"/>
      <c r="AD4" s="305"/>
      <c r="AE4" s="305"/>
      <c r="AF4" s="305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06"/>
      <c r="AA5" s="306"/>
      <c r="AB5" s="306"/>
      <c r="AC5" s="306"/>
      <c r="AD5" s="306"/>
      <c r="AE5" s="306"/>
      <c r="AJ5" s="103"/>
      <c r="AK5" s="104"/>
      <c r="AL5" s="103"/>
      <c r="AM5" s="103"/>
      <c r="AN5" s="103"/>
      <c r="AO5" s="104"/>
      <c r="AP5" s="105"/>
      <c r="AQ5" s="175"/>
      <c r="AS5" s="3"/>
      <c r="BN5" s="310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06"/>
      <c r="AA6" s="306"/>
      <c r="AB6" s="306"/>
      <c r="AC6" s="306"/>
      <c r="AD6" s="306"/>
      <c r="AE6" s="306"/>
      <c r="AK6" s="322"/>
      <c r="AL6" s="322"/>
      <c r="AM6" s="322"/>
      <c r="AN6" s="322"/>
      <c r="AO6" s="322"/>
      <c r="AP6" s="322"/>
      <c r="AQ6" s="308"/>
      <c r="AR6" s="91"/>
      <c r="AS6" s="91"/>
      <c r="AT6" s="91"/>
      <c r="AV6" s="33"/>
      <c r="AX6" s="36"/>
      <c r="AY6" s="245"/>
      <c r="BN6" s="310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3"/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06"/>
      <c r="AA7" s="306"/>
      <c r="AB7" s="306"/>
      <c r="AC7" s="306"/>
      <c r="AD7" s="306"/>
      <c r="AE7" s="306"/>
      <c r="AK7" s="322"/>
      <c r="AL7" s="322"/>
      <c r="AM7" s="322"/>
      <c r="AN7" s="322"/>
      <c r="AO7" s="322"/>
      <c r="AP7" s="322"/>
      <c r="AQ7" s="308"/>
      <c r="AY7" s="28"/>
      <c r="BM7" s="3"/>
      <c r="BN7" s="310"/>
      <c r="CC7" s="91"/>
    </row>
    <row r="8" spans="1:105" ht="15" customHeight="1" thickBot="1" x14ac:dyDescent="0.45">
      <c r="D8" s="25"/>
      <c r="E8" s="22"/>
      <c r="F8" s="301"/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285" t="s">
        <v>116</v>
      </c>
      <c r="W9" s="287"/>
      <c r="Z9" s="38"/>
      <c r="AA9" s="38"/>
      <c r="AB9" s="38"/>
      <c r="AC9" s="38"/>
      <c r="AK9" s="322"/>
      <c r="AL9" s="322"/>
      <c r="AM9" s="322"/>
      <c r="AN9" s="322"/>
      <c r="AO9" s="322"/>
      <c r="AP9" s="322"/>
      <c r="AQ9" s="320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>
        <f t="shared" ref="A11:A30" si="0">IF(E11&gt;=$M$3,"Elected",IF(G11&gt;=$M$3,"Elected",IF(BN8&lt;&gt;0,"Excluded",0)))</f>
        <v>0</v>
      </c>
      <c r="B11" s="235"/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>
        <f t="shared" si="0"/>
        <v>0</v>
      </c>
      <c r="B12" s="235"/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10"/>
      <c r="AM13" s="310"/>
      <c r="AN13" s="310"/>
      <c r="AO13" s="310"/>
      <c r="AP13" s="309"/>
      <c r="AQ13" s="310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>
        <f t="shared" si="0"/>
        <v>0</v>
      </c>
      <c r="B14" s="235"/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10"/>
      <c r="AM14" s="310"/>
      <c r="AN14" s="310"/>
      <c r="AO14" s="310"/>
      <c r="AP14" s="309"/>
      <c r="AQ14" s="310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 t="str">
        <f t="shared" si="0"/>
        <v>Elected</v>
      </c>
      <c r="B15" s="235"/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10"/>
      <c r="AM15" s="310"/>
      <c r="AN15" s="310"/>
      <c r="AO15" s="310"/>
      <c r="AP15" s="309"/>
      <c r="AQ15" s="310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10"/>
      <c r="AM16" s="310"/>
      <c r="AN16" s="310"/>
      <c r="AO16" s="310"/>
      <c r="AP16" s="309"/>
      <c r="AQ16" s="310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10"/>
      <c r="AM17" s="310"/>
      <c r="AN17" s="310"/>
      <c r="AO17" s="310"/>
      <c r="AP17" s="309"/>
      <c r="AQ17" s="310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>
        <f t="shared" si="0"/>
        <v>0</v>
      </c>
      <c r="B18" s="235"/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10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10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19"/>
      <c r="AK20" s="319"/>
      <c r="AL20" s="2"/>
      <c r="AN20" s="2"/>
      <c r="AO20" s="308"/>
      <c r="AP20" s="308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19"/>
      <c r="AK21" s="319"/>
      <c r="AL21" s="2"/>
      <c r="AO21" s="308"/>
      <c r="AP21" s="308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19"/>
      <c r="AK22" s="319"/>
      <c r="AL22" s="2"/>
      <c r="AO22" s="308"/>
      <c r="AP22" s="308"/>
      <c r="AQ22" s="33"/>
      <c r="AX22" s="318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19"/>
      <c r="AK23" s="319"/>
      <c r="AL23" s="2"/>
      <c r="AO23" s="308"/>
      <c r="AP23" s="308"/>
      <c r="AQ23" s="33"/>
      <c r="AX23" s="318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19"/>
      <c r="AK24" s="319"/>
      <c r="AL24" s="2"/>
      <c r="AO24" s="308"/>
      <c r="AP24" s="308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19"/>
      <c r="AK25" s="319"/>
      <c r="AL25" s="2"/>
      <c r="AO25" s="308"/>
      <c r="AP25" s="308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122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123</v>
      </c>
      <c r="E32" s="45">
        <f>SUM(E11:E30)</f>
        <v>10185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124</v>
      </c>
      <c r="E34" s="185">
        <f>'Verification of Boxes'!Q25</f>
        <v>0.54166666666666663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</row>
    <row r="210" spans="105:108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</row>
    <row r="211" spans="105:108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</row>
    <row r="212" spans="105:108" ht="15.5" x14ac:dyDescent="0.35">
      <c r="DA212" s="232" t="str">
        <f t="shared" ref="DA212:DA230" si="9">IF(A12="Elected","E",IF(A12="Excluded","Excluded",""))&amp;IF(B12&gt;0,B12,"")</f>
        <v/>
      </c>
      <c r="DB212" s="232" t="str">
        <f t="shared" ref="DB212:DD227" si="10">C12</f>
        <v>CARLIN</v>
      </c>
      <c r="DC212" s="232" t="str">
        <f t="shared" si="10"/>
        <v>Sinn Féin</v>
      </c>
      <c r="DD212" s="233">
        <f t="shared" si="10"/>
        <v>1204</v>
      </c>
    </row>
    <row r="213" spans="105:108" ht="15.5" x14ac:dyDescent="0.35">
      <c r="DA213" s="232" t="str">
        <f t="shared" si="9"/>
        <v/>
      </c>
      <c r="DB213" s="232" t="str">
        <f t="shared" si="10"/>
        <v>EATON</v>
      </c>
      <c r="DC213" s="232" t="str">
        <f t="shared" si="10"/>
        <v>Alliance Party</v>
      </c>
      <c r="DD213" s="233">
        <f t="shared" si="10"/>
        <v>1116</v>
      </c>
    </row>
    <row r="214" spans="105:108" ht="15.5" x14ac:dyDescent="0.35">
      <c r="DA214" s="232" t="str">
        <f t="shared" si="9"/>
        <v/>
      </c>
      <c r="DB214" s="232" t="str">
        <f t="shared" si="10"/>
        <v>GALLEN</v>
      </c>
      <c r="DC214" s="232" t="str">
        <f t="shared" si="10"/>
        <v>SDLP</v>
      </c>
      <c r="DD214" s="233">
        <f t="shared" si="10"/>
        <v>1035</v>
      </c>
    </row>
    <row r="215" spans="105:108" ht="15.5" x14ac:dyDescent="0.35">
      <c r="DA215" s="232" t="str">
        <f t="shared" si="9"/>
        <v>E</v>
      </c>
      <c r="DB215" s="232" t="str">
        <f t="shared" si="10"/>
        <v>GUY</v>
      </c>
      <c r="DC215" s="232" t="str">
        <f t="shared" si="10"/>
        <v>Alliance Party</v>
      </c>
      <c r="DD215" s="233">
        <f t="shared" si="10"/>
        <v>1452</v>
      </c>
    </row>
    <row r="216" spans="105:108" ht="15.5" x14ac:dyDescent="0.35">
      <c r="DA216" s="232" t="str">
        <f t="shared" si="9"/>
        <v/>
      </c>
      <c r="DB216" s="232" t="str">
        <f t="shared" si="10"/>
        <v>HAMLEY</v>
      </c>
      <c r="DC216" s="232" t="str">
        <f t="shared" si="10"/>
        <v>Green Party NI</v>
      </c>
      <c r="DD216" s="233">
        <f t="shared" si="10"/>
        <v>656</v>
      </c>
    </row>
    <row r="217" spans="105:108" ht="15.5" x14ac:dyDescent="0.35">
      <c r="DA217" s="232" t="str">
        <f t="shared" si="9"/>
        <v/>
      </c>
      <c r="DB217" s="232" t="str">
        <f t="shared" si="10"/>
        <v>HENDERSON</v>
      </c>
      <c r="DC217" s="232" t="str">
        <f t="shared" si="10"/>
        <v>UUP</v>
      </c>
      <c r="DD217" s="233">
        <f t="shared" si="10"/>
        <v>760</v>
      </c>
    </row>
    <row r="218" spans="105:108" ht="15.5" x14ac:dyDescent="0.35">
      <c r="DA218" s="232" t="str">
        <f t="shared" si="9"/>
        <v/>
      </c>
      <c r="DB218" s="232" t="str">
        <f t="shared" si="10"/>
        <v>HIGGINSON</v>
      </c>
      <c r="DC218" s="232" t="str">
        <f t="shared" si="10"/>
        <v>D.U.P.</v>
      </c>
      <c r="DD218" s="233">
        <f t="shared" si="10"/>
        <v>1006</v>
      </c>
    </row>
    <row r="219" spans="105:108" ht="15.5" x14ac:dyDescent="0.35">
      <c r="DA219" s="232" t="str">
        <f t="shared" si="9"/>
        <v/>
      </c>
      <c r="DB219" s="232" t="str">
        <f t="shared" si="10"/>
        <v>LEE</v>
      </c>
      <c r="DC219" s="232" t="str">
        <f t="shared" si="10"/>
        <v xml:space="preserve">SDLP </v>
      </c>
      <c r="DD219" s="233">
        <f t="shared" si="10"/>
        <v>656</v>
      </c>
    </row>
    <row r="220" spans="105:108" ht="15.5" x14ac:dyDescent="0.35">
      <c r="DA220" s="232" t="str">
        <f t="shared" si="9"/>
        <v/>
      </c>
      <c r="DB220" s="232" t="str">
        <f t="shared" si="10"/>
        <v>MCKEEVER</v>
      </c>
      <c r="DC220" s="232" t="str">
        <f t="shared" si="10"/>
        <v>Alliance Party</v>
      </c>
      <c r="DD220" s="233">
        <f t="shared" si="10"/>
        <v>727</v>
      </c>
    </row>
    <row r="221" spans="105:108" ht="15.5" x14ac:dyDescent="0.35">
      <c r="DA221" s="232" t="str">
        <f t="shared" si="9"/>
        <v/>
      </c>
      <c r="DB221" s="232" t="str">
        <f t="shared" si="10"/>
        <v>MILLER</v>
      </c>
      <c r="DC221" s="232" t="str">
        <f t="shared" si="10"/>
        <v>Independent</v>
      </c>
      <c r="DD221" s="233">
        <f t="shared" si="10"/>
        <v>49</v>
      </c>
    </row>
    <row r="222" spans="105:108" ht="15.5" x14ac:dyDescent="0.35">
      <c r="DA222" s="232" t="str">
        <f t="shared" si="9"/>
        <v/>
      </c>
      <c r="DB222" s="232" t="str">
        <f t="shared" si="10"/>
        <v>TRAYNOR</v>
      </c>
      <c r="DC222" s="232" t="str">
        <f t="shared" si="10"/>
        <v>D.U.P.</v>
      </c>
      <c r="DD222" s="233">
        <f t="shared" si="10"/>
        <v>527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127</v>
      </c>
      <c r="DD231" s="231"/>
    </row>
    <row r="232" spans="105:108" ht="15.5" x14ac:dyDescent="0.35">
      <c r="DC232" s="234" t="s">
        <v>128</v>
      </c>
      <c r="DD232" s="233">
        <f>E32</f>
        <v>10185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AL13:AL17"/>
    <mergeCell ref="AO20:AP20"/>
    <mergeCell ref="AO21:AP21"/>
    <mergeCell ref="V8:W8"/>
    <mergeCell ref="V9:W9"/>
    <mergeCell ref="AJ25:AK25"/>
    <mergeCell ref="AJ23:AK23"/>
    <mergeCell ref="AO24:AP24"/>
    <mergeCell ref="AO25:AP25"/>
    <mergeCell ref="AO23:AP23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K1:L1"/>
    <mergeCell ref="H3:I3"/>
    <mergeCell ref="O4:S4"/>
    <mergeCell ref="O3:S3"/>
    <mergeCell ref="H4:I4"/>
    <mergeCell ref="O2:S2"/>
    <mergeCell ref="BZ2:CC2"/>
    <mergeCell ref="BG3:BI3"/>
    <mergeCell ref="AQ6:AQ7"/>
    <mergeCell ref="BG2:BI2"/>
    <mergeCell ref="BR3:BX3"/>
    <mergeCell ref="BN5:BN7"/>
    <mergeCell ref="BZ3:CC3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R9:S9"/>
    <mergeCell ref="T9:U9"/>
    <mergeCell ref="T8:U8"/>
    <mergeCell ref="L8:M8"/>
    <mergeCell ref="P8:Q8"/>
  </mergeCells>
  <phoneticPr fontId="0" type="noConversion"/>
  <conditionalFormatting sqref="E33 V4:W4">
    <cfRule type="cellIs" dxfId="154" priority="1" stopIfTrue="1" operator="equal">
      <formula>"Totals Correct"</formula>
    </cfRule>
    <cfRule type="cellIs" dxfId="153" priority="2" stopIfTrue="1" operator="equal">
      <formula>"ERROR"</formula>
    </cfRule>
  </conditionalFormatting>
  <conditionalFormatting sqref="U4">
    <cfRule type="cellIs" dxfId="152" priority="3" stopIfTrue="1" operator="equal">
      <formula>"OK TO MOVE TO NEXT STAGE"</formula>
    </cfRule>
    <cfRule type="cellIs" dxfId="151" priority="4" stopIfTrue="1" operator="equal">
      <formula>"DO NOT MOVE TO NEXT STAGE"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5" right="0.75" top="1" bottom="1" header="0.5" footer="0.5"/>
  <pageSetup paperSize="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09.7265625" customWidth="1"/>
    <col min="25" max="25" width="4.179687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7" max="37" width="10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0" customWidth="1"/>
    <col min="44" max="44" width="15.1796875" customWidth="1"/>
    <col min="45" max="45" width="76.81640625" customWidth="1"/>
    <col min="47" max="47" width="17.26953125" bestFit="1" customWidth="1"/>
    <col min="49" max="49" width="17.26953125" bestFit="1" customWidth="1"/>
    <col min="50" max="50" width="196.81640625" customWidth="1"/>
    <col min="51" max="51" width="3.54296875" customWidth="1"/>
    <col min="52" max="52" width="49.81640625" customWidth="1"/>
    <col min="53" max="53" width="14.26953125" customWidth="1"/>
    <col min="54" max="54" width="3.26953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199.1796875" customWidth="1"/>
    <col min="67" max="67" width="10.54296875" customWidth="1"/>
    <col min="68" max="68" width="7.81640625" customWidth="1"/>
    <col min="69" max="69" width="1.7265625" customWidth="1"/>
    <col min="70" max="70" width="23.179687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1">
        <f>'Basic Input'!C2</f>
        <v>45064</v>
      </c>
      <c r="L1" s="311"/>
      <c r="Z1" s="10" t="s">
        <v>129</v>
      </c>
      <c r="AQ1" s="33"/>
      <c r="AY1" s="188"/>
      <c r="AZ1" s="199" t="s">
        <v>130</v>
      </c>
      <c r="BA1" s="188"/>
      <c r="BB1" s="188"/>
      <c r="BC1" s="188"/>
      <c r="BD1" s="188"/>
      <c r="BE1" s="200" t="str">
        <f>IF(AT5="T","COMPLETE THIS FORM","YOU HAVE NOT SELECTED TO COMPLETE THIS FORM")</f>
        <v>YOU HAVE NOT SELECTED TO COMPLETE THIS FORM</v>
      </c>
      <c r="BF1" s="188"/>
      <c r="BG1" s="188"/>
      <c r="BH1" s="188"/>
      <c r="BI1" s="188"/>
      <c r="BJ1" s="188"/>
      <c r="BK1" s="188"/>
      <c r="BR1" s="10" t="s">
        <v>131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132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178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36" t="s">
        <v>107</v>
      </c>
      <c r="CB2" s="314" t="s">
        <v>135</v>
      </c>
      <c r="CC2" s="315"/>
      <c r="CD2" s="315"/>
      <c r="CE2" s="316"/>
    </row>
    <row r="3" spans="1:105" ht="24.75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178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R3" s="81" t="s">
        <v>137</v>
      </c>
      <c r="BS3" s="82"/>
      <c r="BT3" s="340" t="s">
        <v>138</v>
      </c>
      <c r="BU3" s="341"/>
      <c r="BV3" s="341"/>
      <c r="BW3" s="341"/>
      <c r="BX3" s="341"/>
      <c r="BY3" s="341"/>
      <c r="BZ3" s="342"/>
    </row>
    <row r="4" spans="1:105" ht="24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139</v>
      </c>
      <c r="P4" s="338"/>
      <c r="Q4" s="338"/>
      <c r="R4" s="338"/>
      <c r="S4" s="339"/>
      <c r="U4" s="324" t="str">
        <f>IF(G33="ERROR","DO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149</v>
      </c>
      <c r="AT5" s="7" t="str">
        <f>IF(AQ5=0,0,IF(AQ5="Y","T","E"))</f>
        <v>E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IF(C11=0,0,IF(E11=0,"Excluded",0))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267" t="s">
        <v>155</v>
      </c>
      <c r="AA6" s="268"/>
      <c r="AB6" s="268"/>
      <c r="AC6" s="268"/>
      <c r="AD6" s="268"/>
      <c r="AE6" s="268"/>
      <c r="AF6" s="269"/>
      <c r="AG6" s="193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IF(C12=0,0,IF(E12=0,"Excluded",0))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49</v>
      </c>
    </row>
    <row r="7" spans="1:105" ht="15" customHeight="1" thickBot="1" x14ac:dyDescent="0.3">
      <c r="D7" s="25"/>
      <c r="E7" s="22"/>
      <c r="F7" s="303" t="str">
        <f>IF($AT5=0,0,IF($AT5="T",$AZ7,$BR4))</f>
        <v>Exclude</v>
      </c>
      <c r="G7" s="304"/>
      <c r="H7" s="303"/>
      <c r="I7" s="304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270"/>
      <c r="AA7" s="271"/>
      <c r="AB7" s="271"/>
      <c r="AC7" s="271"/>
      <c r="AD7" s="271"/>
      <c r="AE7" s="271"/>
      <c r="AF7" s="272"/>
      <c r="AG7" s="193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01" t="str">
        <f>IF($F7="Transfer",$BA8,$BT3)</f>
        <v>Miller</v>
      </c>
      <c r="G8" s="302"/>
      <c r="H8" s="301"/>
      <c r="I8" s="302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997</v>
      </c>
      <c r="BP8" s="66"/>
      <c r="BR8" s="9" t="str">
        <f>'Verification of Boxes'!J10</f>
        <v>BASSETT</v>
      </c>
      <c r="BS8" s="64">
        <v>1</v>
      </c>
      <c r="BT8" s="5">
        <f t="shared" ref="BT8:BT27" si="4">BS8*BT$6</f>
        <v>1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1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285" t="s">
        <v>116</v>
      </c>
      <c r="W9" s="287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1204</v>
      </c>
      <c r="BP9" s="66"/>
      <c r="BR9" s="9" t="str">
        <f>'Verification of Boxes'!J11</f>
        <v>CARLIN</v>
      </c>
      <c r="BS9" s="64">
        <v>3</v>
      </c>
      <c r="BT9" s="5">
        <f t="shared" si="4"/>
        <v>3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3</v>
      </c>
    </row>
    <row r="10" spans="1:105" ht="15" customHeight="1" thickBot="1" x14ac:dyDescent="0.3">
      <c r="A10" s="15" t="s">
        <v>117</v>
      </c>
      <c r="B10" s="18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1116</v>
      </c>
      <c r="BP10" s="66"/>
      <c r="BR10" s="9" t="str">
        <f>'Verification of Boxes'!J12</f>
        <v>EATON</v>
      </c>
      <c r="BS10" s="64">
        <v>5</v>
      </c>
      <c r="BT10" s="5">
        <f t="shared" si="4"/>
        <v>5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5</v>
      </c>
    </row>
    <row r="11" spans="1:105" ht="15" customHeight="1" thickBot="1" x14ac:dyDescent="0.3">
      <c r="A11" s="29">
        <f t="shared" ref="A11:A30" si="12">IF(E11&gt;=$M$3,"Elected",IF(G11&gt;=$M$3,"Elected",IF(BP8&lt;&gt;0,"Excluded",0)))</f>
        <v>0</v>
      </c>
      <c r="B11" s="235">
        <f>'Overview Stage 1'!B11</f>
        <v>0</v>
      </c>
      <c r="C11" s="30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 t="shared" ref="F11:F30" si="13">IF(C11&lt;&gt;0,$BK49,0)</f>
        <v>1</v>
      </c>
      <c r="G11" s="27">
        <f t="shared" ref="G11:G31" si="14">IF(F$8=0,0,E11+F11)</f>
        <v>998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>
        <f t="shared" si="11"/>
        <v>0</v>
      </c>
      <c r="BO11" s="7">
        <f t="shared" si="3"/>
        <v>1035</v>
      </c>
      <c r="BP11" s="66"/>
      <c r="BR11" s="9" t="str">
        <f>'Verification of Boxes'!J13</f>
        <v>GALLEN</v>
      </c>
      <c r="BS11" s="64">
        <v>0</v>
      </c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'Overview Stage 1'!B12</f>
        <v>0</v>
      </c>
      <c r="C12" s="31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 t="shared" si="13"/>
        <v>3</v>
      </c>
      <c r="G12" s="27">
        <f t="shared" si="14"/>
        <v>1207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171</v>
      </c>
      <c r="BA12" s="3" t="s">
        <v>172</v>
      </c>
      <c r="BB12" s="3"/>
      <c r="BC12" s="50">
        <f>AG3</f>
        <v>178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 t="shared" si="13"/>
        <v>5</v>
      </c>
      <c r="G13" s="27">
        <f t="shared" si="14"/>
        <v>1121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119</v>
      </c>
      <c r="AA13" s="124" t="s">
        <v>173</v>
      </c>
      <c r="AB13" s="16"/>
      <c r="AC13" s="16" t="s">
        <v>174</v>
      </c>
      <c r="AD13" s="16"/>
      <c r="AE13" s="16" t="s">
        <v>175</v>
      </c>
      <c r="AF13" s="16" t="s">
        <v>176</v>
      </c>
      <c r="AG13" s="17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656</v>
      </c>
      <c r="BP13" s="66"/>
      <c r="BR13" s="9" t="str">
        <f>'Verification of Boxes'!J15</f>
        <v>HAMLEY</v>
      </c>
      <c r="BS13" s="182">
        <v>11</v>
      </c>
      <c r="BT13" s="5">
        <f t="shared" si="4"/>
        <v>11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11</v>
      </c>
    </row>
    <row r="14" spans="1:105" ht="15" customHeight="1" thickBot="1" x14ac:dyDescent="0.3">
      <c r="A14" s="20">
        <f t="shared" si="12"/>
        <v>0</v>
      </c>
      <c r="B14" s="235">
        <f>'Overview Stage 1'!B14</f>
        <v>0</v>
      </c>
      <c r="C14" s="31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 t="shared" si="13"/>
        <v>0</v>
      </c>
      <c r="G14" s="27">
        <f t="shared" si="14"/>
        <v>1035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BASSETT</v>
      </c>
      <c r="AA14" s="93">
        <f t="shared" ref="AA14:AA33" si="23">E11</f>
        <v>997</v>
      </c>
      <c r="AB14" s="88"/>
      <c r="AC14" s="99">
        <f t="shared" ref="AC14:AC33" si="24">IF(AA14&gt;0,AA14-AG$4,0)</f>
        <v>-277</v>
      </c>
      <c r="AD14" s="59"/>
      <c r="AE14" s="88" t="str">
        <f>IF(Z14=0,0,IF(AA14&gt;=AG$4,"elected",IF(AA14=0,"excluded","continuing")))</f>
        <v>continuing</v>
      </c>
      <c r="AF14" s="88">
        <f t="shared" ref="AF14:AF22" si="25">IF(AE14="elected",AC14,0)</f>
        <v>0</v>
      </c>
      <c r="AG14" s="94">
        <f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760</v>
      </c>
      <c r="BP14" s="66"/>
      <c r="BR14" s="9" t="str">
        <f>'Verification of Boxes'!J16</f>
        <v>HENDERSON</v>
      </c>
      <c r="BS14" s="64">
        <v>4</v>
      </c>
      <c r="BT14" s="5">
        <f t="shared" si="4"/>
        <v>4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4</v>
      </c>
    </row>
    <row r="15" spans="1:105" ht="15" customHeight="1" thickBot="1" x14ac:dyDescent="0.3">
      <c r="A15" s="20" t="str">
        <f t="shared" si="12"/>
        <v>Elected</v>
      </c>
      <c r="B15" s="235">
        <f>'Overview Stage 1'!B15</f>
        <v>0</v>
      </c>
      <c r="C15" s="31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 t="shared" si="13"/>
        <v>0</v>
      </c>
      <c r="G15" s="27">
        <f t="shared" si="14"/>
        <v>1452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CARLIN</v>
      </c>
      <c r="AA15" s="37">
        <f t="shared" si="23"/>
        <v>1204</v>
      </c>
      <c r="AB15" s="5"/>
      <c r="AC15" s="100">
        <f t="shared" si="24"/>
        <v>-70</v>
      </c>
      <c r="AD15" s="61"/>
      <c r="AE15" s="5" t="str">
        <f t="shared" ref="AE15:AE33" si="26">IF(Z15=0,0,IF(AA15&gt;=AG$4,"elected",IF(AA15=0,"excluded","continuing")))</f>
        <v>continuing</v>
      </c>
      <c r="AF15" s="5">
        <f t="shared" si="25"/>
        <v>0</v>
      </c>
      <c r="AG15" s="96">
        <f t="shared" ref="AG15:AG22" si="27">IF(AF15=0,0,(IF(AC15&gt;=0,"transfer largest surplus","progress to exclude")))</f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>
        <f t="shared" si="2"/>
        <v>0</v>
      </c>
      <c r="BM15" s="3"/>
      <c r="BN15" s="5">
        <f t="shared" si="11"/>
        <v>0</v>
      </c>
      <c r="BO15" s="7">
        <f t="shared" si="3"/>
        <v>1006</v>
      </c>
      <c r="BP15" s="66"/>
      <c r="BR15" s="9" t="str">
        <f>'Verification of Boxes'!J17</f>
        <v>HIGGINSON</v>
      </c>
      <c r="BS15" s="64">
        <v>3</v>
      </c>
      <c r="BT15" s="5">
        <f t="shared" si="4"/>
        <v>3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3</v>
      </c>
    </row>
    <row r="16" spans="1:105" ht="15" customHeight="1" thickBot="1" x14ac:dyDescent="0.3">
      <c r="A16" s="20">
        <f t="shared" si="12"/>
        <v>0</v>
      </c>
      <c r="B16" s="235">
        <f>'Overview Stage 1'!B16</f>
        <v>0</v>
      </c>
      <c r="C16" s="31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 t="shared" si="13"/>
        <v>11</v>
      </c>
      <c r="G16" s="27">
        <f t="shared" si="14"/>
        <v>667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EATON</v>
      </c>
      <c r="AA16" s="37">
        <f t="shared" si="23"/>
        <v>1116</v>
      </c>
      <c r="AB16" s="5"/>
      <c r="AC16" s="100">
        <f t="shared" si="24"/>
        <v>-158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656</v>
      </c>
      <c r="BP16" s="66"/>
      <c r="BR16" s="9" t="str">
        <f>'Verification of Boxes'!J18</f>
        <v>LEE</v>
      </c>
      <c r="BS16" s="64">
        <v>6</v>
      </c>
      <c r="BT16" s="5">
        <f t="shared" si="4"/>
        <v>6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6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 t="shared" si="13"/>
        <v>4</v>
      </c>
      <c r="G17" s="27">
        <f t="shared" si="14"/>
        <v>764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GALLEN</v>
      </c>
      <c r="AA17" s="37">
        <f t="shared" si="23"/>
        <v>1035</v>
      </c>
      <c r="AB17" s="5"/>
      <c r="AC17" s="100">
        <f t="shared" si="24"/>
        <v>-239</v>
      </c>
      <c r="AD17" s="61"/>
      <c r="AE17" s="5" t="str">
        <f t="shared" si="26"/>
        <v>continuing</v>
      </c>
      <c r="AF17" s="5">
        <f t="shared" si="25"/>
        <v>0</v>
      </c>
      <c r="AG17" s="96">
        <f t="shared" si="27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727</v>
      </c>
      <c r="BP17" s="66"/>
      <c r="BR17" s="9" t="str">
        <f>'Verification of Boxes'!J19</f>
        <v>MCKEEVER</v>
      </c>
      <c r="BS17" s="64">
        <v>7</v>
      </c>
      <c r="BT17" s="5">
        <f t="shared" si="4"/>
        <v>7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7</v>
      </c>
    </row>
    <row r="18" spans="1:83" ht="15" customHeight="1" thickBot="1" x14ac:dyDescent="0.3">
      <c r="A18" s="20">
        <f t="shared" si="12"/>
        <v>0</v>
      </c>
      <c r="B18" s="235">
        <f>'Overview Stage 1'!B18</f>
        <v>0</v>
      </c>
      <c r="C18" s="31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 t="shared" si="13"/>
        <v>3</v>
      </c>
      <c r="G18" s="27">
        <f t="shared" si="14"/>
        <v>1009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GUY</v>
      </c>
      <c r="AA18" s="37">
        <f t="shared" si="23"/>
        <v>1452</v>
      </c>
      <c r="AB18" s="5"/>
      <c r="AC18" s="100">
        <f t="shared" si="24"/>
        <v>178</v>
      </c>
      <c r="AD18" s="61"/>
      <c r="AE18" s="5" t="str">
        <f t="shared" si="26"/>
        <v>elected</v>
      </c>
      <c r="AF18" s="5">
        <f t="shared" si="25"/>
        <v>178</v>
      </c>
      <c r="AG18" s="96" t="str">
        <f t="shared" si="27"/>
        <v>transfer largest surplus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49</v>
      </c>
      <c r="BP18" s="66" t="s">
        <v>187</v>
      </c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>
        <f t="shared" si="12"/>
        <v>0</v>
      </c>
      <c r="B19" s="235">
        <f>'Overview Stage 1'!B19</f>
        <v>0</v>
      </c>
      <c r="C19" s="31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 t="shared" si="13"/>
        <v>6</v>
      </c>
      <c r="G19" s="27">
        <f t="shared" si="14"/>
        <v>662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HAMLEY</v>
      </c>
      <c r="AA19" s="37">
        <f t="shared" si="23"/>
        <v>656</v>
      </c>
      <c r="AB19" s="5"/>
      <c r="AC19" s="100">
        <f t="shared" si="24"/>
        <v>-618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527</v>
      </c>
      <c r="BP19" s="66"/>
      <c r="BR19" s="9" t="str">
        <f>'Verification of Boxes'!J21</f>
        <v>TRAYNOR</v>
      </c>
      <c r="BS19" s="64">
        <v>1</v>
      </c>
      <c r="BT19" s="5">
        <f t="shared" si="4"/>
        <v>1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1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 t="shared" si="13"/>
        <v>7</v>
      </c>
      <c r="G20" s="27">
        <f t="shared" si="14"/>
        <v>734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HENDERSON</v>
      </c>
      <c r="AA20" s="37">
        <f t="shared" si="23"/>
        <v>760</v>
      </c>
      <c r="AB20" s="5"/>
      <c r="AC20" s="100">
        <f t="shared" si="24"/>
        <v>-514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44" t="s">
        <v>190</v>
      </c>
      <c r="AK20" s="345"/>
      <c r="AL20" s="142">
        <f>AL46</f>
        <v>49</v>
      </c>
      <c r="AM20" s="118"/>
      <c r="AN20" s="142">
        <f>AL20+AG2</f>
        <v>227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 t="str">
        <f>IF(AN20&gt;AG$4,0,IF(AM21&gt;AN20,"Exclude lowest",0))</f>
        <v>Exclude lowest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 t="str">
        <f t="shared" si="12"/>
        <v>Excluded</v>
      </c>
      <c r="B21" s="235">
        <f>'Overview Stage 1'!B21</f>
        <v>0</v>
      </c>
      <c r="C21" s="31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 t="shared" si="13"/>
        <v>-49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HIGGINSON</v>
      </c>
      <c r="AA21" s="37">
        <f t="shared" si="23"/>
        <v>1006</v>
      </c>
      <c r="AB21" s="5"/>
      <c r="AC21" s="100">
        <f t="shared" si="24"/>
        <v>-268</v>
      </c>
      <c r="AD21" s="61"/>
      <c r="AE21" s="5" t="str">
        <f t="shared" si="26"/>
        <v>continuing</v>
      </c>
      <c r="AF21" s="5">
        <f t="shared" si="25"/>
        <v>0</v>
      </c>
      <c r="AG21" s="96">
        <f t="shared" si="27"/>
        <v>0</v>
      </c>
      <c r="AJ21" s="327" t="s">
        <v>191</v>
      </c>
      <c r="AK21" s="275"/>
      <c r="AL21" s="37">
        <f>IF(AL20=1000000,0,AN46)</f>
        <v>527</v>
      </c>
      <c r="AM21" s="5">
        <f>AL21-AL20</f>
        <v>478</v>
      </c>
      <c r="AN21" s="5">
        <f>IF(AL21=1000000,0,IF(AN20=0,0,AN20+AL21))</f>
        <v>754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 t="shared" si="13"/>
        <v>1</v>
      </c>
      <c r="G22" s="27">
        <f t="shared" si="14"/>
        <v>528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 t="str">
        <f>'Verification of Boxes'!J18</f>
        <v>LEE</v>
      </c>
      <c r="AA22" s="37">
        <f t="shared" si="23"/>
        <v>656</v>
      </c>
      <c r="AB22" s="5"/>
      <c r="AC22" s="100">
        <f t="shared" si="24"/>
        <v>-618</v>
      </c>
      <c r="AD22" s="61"/>
      <c r="AE22" s="5" t="str">
        <f t="shared" si="26"/>
        <v>continuing</v>
      </c>
      <c r="AF22" s="5">
        <f t="shared" si="25"/>
        <v>0</v>
      </c>
      <c r="AG22" s="96">
        <f t="shared" si="27"/>
        <v>0</v>
      </c>
      <c r="AJ22" s="327" t="s">
        <v>191</v>
      </c>
      <c r="AK22" s="275"/>
      <c r="AL22" s="37">
        <f>IF(AL21=1000000,0,AP46)</f>
        <v>656</v>
      </c>
      <c r="AM22" s="5">
        <f>IF(AL22=1000000,0,IF(AM21=0,0,AL22-AL21))</f>
        <v>129</v>
      </c>
      <c r="AN22" s="5">
        <f>IF(AL22=1000000,0,IF(AN21=0,0,AN21+AL22))</f>
        <v>1410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 t="str">
        <f>'Verification of Boxes'!J19</f>
        <v>MCKEEVER</v>
      </c>
      <c r="AA23" s="37">
        <f t="shared" si="23"/>
        <v>727</v>
      </c>
      <c r="AB23" s="5"/>
      <c r="AC23" s="100">
        <f t="shared" si="24"/>
        <v>-547</v>
      </c>
      <c r="AD23" s="61"/>
      <c r="AE23" s="5" t="str">
        <f t="shared" si="26"/>
        <v>continuing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27" t="s">
        <v>191</v>
      </c>
      <c r="AK23" s="275"/>
      <c r="AL23" s="37">
        <f>IF(AL22=1000000,0,AR46)</f>
        <v>727</v>
      </c>
      <c r="AM23" s="5">
        <f>IF(AL23=1000000,0,IF(AM22=0,0,AL23-AL22))</f>
        <v>71</v>
      </c>
      <c r="AN23" s="5">
        <f>IF(AL23=1000000,0,IF(AN22=0,0,AN22+AL23))</f>
        <v>2137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 t="str">
        <f>'Verification of Boxes'!J20</f>
        <v>MILLER</v>
      </c>
      <c r="AA24" s="37">
        <f t="shared" si="23"/>
        <v>49</v>
      </c>
      <c r="AB24" s="5"/>
      <c r="AC24" s="100">
        <f t="shared" si="24"/>
        <v>-1225</v>
      </c>
      <c r="AD24" s="61"/>
      <c r="AE24" s="5" t="str">
        <f t="shared" si="26"/>
        <v>continuing</v>
      </c>
      <c r="AF24" s="5">
        <f t="shared" si="29"/>
        <v>0</v>
      </c>
      <c r="AG24" s="96">
        <f t="shared" si="30"/>
        <v>0</v>
      </c>
      <c r="AJ24" s="327" t="s">
        <v>191</v>
      </c>
      <c r="AK24" s="275"/>
      <c r="AL24" s="37">
        <f>IF(AR46=1000000,0,AU46)</f>
        <v>760</v>
      </c>
      <c r="AM24" s="5">
        <f>IF(AL24=1000000,0,IF(AM23=0,0,AL24-AL23))</f>
        <v>33</v>
      </c>
      <c r="AN24" s="5">
        <f>IF(AL24=1000000,0,IF(AN23=0,0,AN23+AL24))</f>
        <v>2897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 t="str">
        <f>'Verification of Boxes'!J21</f>
        <v>TRAYNOR</v>
      </c>
      <c r="AA25" s="37">
        <f t="shared" si="23"/>
        <v>527</v>
      </c>
      <c r="AB25" s="5"/>
      <c r="AC25" s="100">
        <f t="shared" si="24"/>
        <v>-747</v>
      </c>
      <c r="AD25" s="61"/>
      <c r="AE25" s="5" t="str">
        <f t="shared" si="26"/>
        <v>continuing</v>
      </c>
      <c r="AF25" s="5">
        <f t="shared" si="29"/>
        <v>0</v>
      </c>
      <c r="AG25" s="96">
        <f t="shared" si="30"/>
        <v>0</v>
      </c>
      <c r="AJ25" s="325" t="s">
        <v>191</v>
      </c>
      <c r="AK25" s="326"/>
      <c r="AL25" s="89">
        <f>IF(AL24=1000000,0,AW46)</f>
        <v>997</v>
      </c>
      <c r="AM25" s="90">
        <f>IF(AL25=1000000,0,IF(AM24=0,0,AL25-AL24))</f>
        <v>237</v>
      </c>
      <c r="AN25" s="90">
        <f>IF(AL25=1000000,0,IF(AN24=0,0,AN24+AL25))</f>
        <v>3894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1</v>
      </c>
      <c r="AU27" s="5">
        <f t="shared" ref="AU27:AU32" si="31">IF(AO20&lt;&gt;0,1,0)</f>
        <v>1</v>
      </c>
      <c r="AV27" s="5">
        <f>AU27</f>
        <v>1</v>
      </c>
      <c r="AW27" s="5">
        <f t="shared" ref="AW27:AW32" si="32">IF(AN20&lt;AM21,1,0)</f>
        <v>1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203</v>
      </c>
      <c r="AM28" s="268"/>
      <c r="AN28" s="268"/>
      <c r="AO28" s="268"/>
      <c r="AP28" s="268"/>
      <c r="AQ28" s="269"/>
      <c r="AR28" s="188"/>
      <c r="AS28" s="188"/>
      <c r="AT28" s="5">
        <f>AT27+AW28</f>
        <v>1</v>
      </c>
      <c r="AU28" s="5">
        <f t="shared" si="31"/>
        <v>0</v>
      </c>
      <c r="AV28" s="5">
        <f>AV27+AU28</f>
        <v>1</v>
      </c>
      <c r="AW28" s="5">
        <f t="shared" si="32"/>
        <v>0</v>
      </c>
      <c r="BA28" s="3"/>
      <c r="BB28" s="3"/>
      <c r="BC28" s="2"/>
      <c r="BR28" s="19" t="s">
        <v>127</v>
      </c>
      <c r="BS28" s="63">
        <v>8</v>
      </c>
      <c r="BT28" s="119">
        <f>BS28*BT$6</f>
        <v>8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8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1</v>
      </c>
      <c r="AU29" s="5">
        <f t="shared" si="31"/>
        <v>0</v>
      </c>
      <c r="AV29" s="5">
        <f>AV28+AU29</f>
        <v>1</v>
      </c>
      <c r="AW29" s="5">
        <f t="shared" si="32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49</v>
      </c>
      <c r="BT29" s="5">
        <f>BS29*BT$6</f>
        <v>49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49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1</v>
      </c>
      <c r="AU30" s="5">
        <f t="shared" si="31"/>
        <v>0</v>
      </c>
      <c r="AV30" s="5">
        <f>AV29+AU30</f>
        <v>1</v>
      </c>
      <c r="AW30" s="5">
        <f t="shared" si="32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207</v>
      </c>
      <c r="BJ30" s="353"/>
      <c r="BK30" s="354"/>
      <c r="BP30" s="319"/>
      <c r="BX30" s="358" t="str">
        <f>IF(BW31=BW69,"Calculations OK","Check Count for Error")</f>
        <v>Calculations OK</v>
      </c>
      <c r="BY30" s="358"/>
    </row>
    <row r="31" spans="1:83" ht="15" customHeight="1" thickBot="1" x14ac:dyDescent="0.3">
      <c r="D31" s="25" t="s">
        <v>122</v>
      </c>
      <c r="E31" s="189"/>
      <c r="F31" s="73">
        <f>$BK69</f>
        <v>8</v>
      </c>
      <c r="G31" s="40">
        <f t="shared" si="14"/>
        <v>8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208</v>
      </c>
      <c r="AM31" s="268"/>
      <c r="AN31" s="268"/>
      <c r="AO31" s="268"/>
      <c r="AP31" s="268"/>
      <c r="AQ31" s="269"/>
      <c r="AR31" s="188"/>
      <c r="AS31" s="188"/>
      <c r="AT31" s="5">
        <f>AT30+AW31</f>
        <v>1</v>
      </c>
      <c r="AU31" s="5">
        <f t="shared" si="31"/>
        <v>0</v>
      </c>
      <c r="AV31" s="5">
        <f>AV30+AU31</f>
        <v>1</v>
      </c>
      <c r="AW31" s="5">
        <f t="shared" si="32"/>
        <v>0</v>
      </c>
      <c r="AZ31" t="s">
        <v>209</v>
      </c>
      <c r="BA31" s="3" t="s">
        <v>210</v>
      </c>
      <c r="BB31" s="3"/>
      <c r="BC31" s="50" t="b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P31" s="319"/>
      <c r="BV31" t="s">
        <v>123</v>
      </c>
      <c r="BW31" s="5">
        <f>BT29+BV29+BX29+BZ29+CB29+CD29</f>
        <v>49</v>
      </c>
      <c r="BX31" s="324"/>
      <c r="BY31" s="324"/>
      <c r="BZ31" s="5">
        <f>BW69-BW31</f>
        <v>0</v>
      </c>
      <c r="CB31" s="267" t="s">
        <v>212</v>
      </c>
      <c r="CC31" s="268"/>
      <c r="CD31" s="268"/>
      <c r="CE31" s="269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47">
        <f>SUM(G11:G31)</f>
        <v>10185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1</v>
      </c>
      <c r="AU32" s="5">
        <f t="shared" si="31"/>
        <v>0</v>
      </c>
      <c r="AV32" s="5">
        <f>AV31+AU32</f>
        <v>1</v>
      </c>
      <c r="AW32" s="5">
        <f t="shared" si="32"/>
        <v>0</v>
      </c>
      <c r="BF32" s="324"/>
      <c r="BG32" s="324"/>
      <c r="BP32" s="319"/>
      <c r="BX32" s="324"/>
      <c r="BY32" s="324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124</v>
      </c>
      <c r="E34" s="185">
        <f>'Overview Stage 1'!E34</f>
        <v>0.54166666666666663</v>
      </c>
      <c r="F34" s="18"/>
      <c r="G34" s="183">
        <v>0.58333333333333337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83"/>
      <c r="AN34" s="283"/>
      <c r="AO34" s="283"/>
      <c r="AP34" s="283"/>
      <c r="AQ34" s="283"/>
      <c r="AR34" s="283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178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MILLER</v>
      </c>
      <c r="AA44" s="250">
        <v>49</v>
      </c>
      <c r="AB44" s="250">
        <v>49</v>
      </c>
      <c r="AC44" s="250">
        <f>AC43+AA44</f>
        <v>227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TRAYNOR</v>
      </c>
      <c r="AA45" s="250">
        <v>527</v>
      </c>
      <c r="AB45" s="250">
        <v>527</v>
      </c>
      <c r="AC45" s="250">
        <f>AC44+AA45</f>
        <v>754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HAMLEY</v>
      </c>
      <c r="AA46" s="250">
        <v>656</v>
      </c>
      <c r="AB46" s="250">
        <v>656</v>
      </c>
      <c r="AC46" s="250">
        <f t="shared" ref="AC46:AC63" si="36">AC45+AA46</f>
        <v>1410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49</v>
      </c>
      <c r="AN46" s="2">
        <f>AN47+AL46</f>
        <v>527</v>
      </c>
      <c r="AP46" s="2">
        <f>AP47+AN46</f>
        <v>656</v>
      </c>
      <c r="AR46" s="2">
        <f>AR47+AP46</f>
        <v>727</v>
      </c>
      <c r="AS46" s="2"/>
      <c r="AU46" s="2">
        <f>AU47+AR46</f>
        <v>760</v>
      </c>
      <c r="AW46" s="2">
        <f>AW47+AU46</f>
        <v>997</v>
      </c>
      <c r="AX46" s="2"/>
      <c r="BG46" t="s">
        <v>218</v>
      </c>
    </row>
    <row r="47" spans="4:75" x14ac:dyDescent="0.25">
      <c r="Z47" s="253" t="str">
        <v>LEE</v>
      </c>
      <c r="AA47" s="250">
        <v>656</v>
      </c>
      <c r="AB47" s="250">
        <v>656</v>
      </c>
      <c r="AC47" s="250">
        <f t="shared" si="36"/>
        <v>2066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49</v>
      </c>
      <c r="AN47" s="2">
        <f>MIN(AN48:AN67)</f>
        <v>478</v>
      </c>
      <c r="AP47" s="2">
        <f>MIN(AP48:AP67)</f>
        <v>129</v>
      </c>
      <c r="AR47" s="2">
        <f>MIN(AR48:AR67)</f>
        <v>71</v>
      </c>
      <c r="AS47" s="2"/>
      <c r="AU47" s="2">
        <f>MIN(AU48:AU67)</f>
        <v>33</v>
      </c>
      <c r="AW47" s="2">
        <f>MIN(AW48:AW67)</f>
        <v>237</v>
      </c>
      <c r="AX47" s="2"/>
    </row>
    <row r="48" spans="4:75" ht="37.5" x14ac:dyDescent="0.25">
      <c r="Z48" s="253" t="str">
        <v>MCKEEVER</v>
      </c>
      <c r="AA48" s="250">
        <v>727</v>
      </c>
      <c r="AB48" s="250">
        <v>727</v>
      </c>
      <c r="AC48" s="250">
        <f t="shared" si="36"/>
        <v>2793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BASSETT</v>
      </c>
      <c r="AK48" s="2">
        <f t="shared" ref="AK48:AK60" si="38">AA14</f>
        <v>997</v>
      </c>
      <c r="AL48">
        <f>IF(AK48&lt;&gt;0,AK48,1000000)</f>
        <v>997</v>
      </c>
      <c r="AM48" s="2">
        <f t="shared" ref="AM48:AM67" si="39">AL48-AL$47</f>
        <v>948</v>
      </c>
      <c r="AN48">
        <f>IF(AM48&lt;&gt;0,AM48,1000000)</f>
        <v>948</v>
      </c>
      <c r="AO48" s="2">
        <f t="shared" ref="AO48:AO67" si="40">AN48-AN$47</f>
        <v>470</v>
      </c>
      <c r="AP48">
        <f t="shared" ref="AP48:AP67" si="41">IF(AO48&lt;&gt;0,AO48,1000000)</f>
        <v>470</v>
      </c>
      <c r="AQ48" s="2">
        <f t="shared" ref="AQ48:AQ67" si="42">AP48-AP$47</f>
        <v>341</v>
      </c>
      <c r="AR48">
        <f t="shared" ref="AR48:AR67" si="43">IF(AQ48&lt;&gt;0,AQ48,1000000)</f>
        <v>341</v>
      </c>
      <c r="AT48" s="2">
        <f t="shared" ref="AT48:AT67" si="44">AR48-AR$47</f>
        <v>270</v>
      </c>
      <c r="AU48">
        <f t="shared" ref="AU48:AU67" si="45">IF(AT48&lt;&gt;0,AT48,1000000)</f>
        <v>270</v>
      </c>
      <c r="AV48" s="2">
        <f t="shared" ref="AV48:AV67" si="46">AU48-AU$47</f>
        <v>237</v>
      </c>
      <c r="AW48">
        <f t="shared" ref="AW48:AW67" si="47">IF(AV48&lt;&gt;0,AV48,1000000)</f>
        <v>237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HENDERSON</v>
      </c>
      <c r="AA49" s="250">
        <v>760</v>
      </c>
      <c r="AB49" s="250">
        <v>760</v>
      </c>
      <c r="AC49" s="250">
        <f t="shared" si="36"/>
        <v>3553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CARLIN</v>
      </c>
      <c r="AK49" s="2">
        <f t="shared" si="38"/>
        <v>1204</v>
      </c>
      <c r="AL49">
        <f t="shared" ref="AL49:AL67" si="48">IF(AK49&lt;&gt;0,AK49,1000000)</f>
        <v>1204</v>
      </c>
      <c r="AM49" s="2">
        <f t="shared" si="39"/>
        <v>1155</v>
      </c>
      <c r="AN49">
        <f t="shared" ref="AN49:AN67" si="49">IF(AM49&lt;&gt;0,AM49,1000000)</f>
        <v>1155</v>
      </c>
      <c r="AO49" s="2">
        <f t="shared" si="40"/>
        <v>677</v>
      </c>
      <c r="AP49">
        <f t="shared" si="41"/>
        <v>677</v>
      </c>
      <c r="AQ49" s="2">
        <f t="shared" si="42"/>
        <v>548</v>
      </c>
      <c r="AR49">
        <f t="shared" si="43"/>
        <v>548</v>
      </c>
      <c r="AT49" s="2">
        <f t="shared" si="44"/>
        <v>477</v>
      </c>
      <c r="AU49">
        <f t="shared" si="45"/>
        <v>477</v>
      </c>
      <c r="AV49" s="2">
        <f t="shared" si="46"/>
        <v>444</v>
      </c>
      <c r="AW49">
        <f t="shared" si="47"/>
        <v>444</v>
      </c>
      <c r="BE49" s="5">
        <f>IF($BH5="y",$BE5,IF($BH6="y",$BE6,IF($BH7="y",$BE7,IF($BH8="y",$BE8,IF($BH9="y",$BE9,IF($BH10="y",$BE10,0))))))</f>
        <v>0</v>
      </c>
      <c r="BG49" s="125" t="str">
        <f t="shared" ref="BG49:BG68" si="50">BE5</f>
        <v>BASSETT</v>
      </c>
      <c r="BH49" s="126"/>
      <c r="BI49" s="5">
        <f t="shared" ref="BI49:BI60" si="51">IF(BE5=0,0,IF(BE5=BA$8,-BC$12,0))</f>
        <v>0</v>
      </c>
      <c r="BJ49" s="5">
        <f t="shared" ref="BJ49:BJ60" si="52">BN49</f>
        <v>0</v>
      </c>
      <c r="BK49" s="5">
        <f t="shared" ref="BK49:BK68" si="53">BG5+CE8+BJ49+BI49</f>
        <v>1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BASSETT</v>
      </c>
      <c r="AA50" s="250">
        <v>997</v>
      </c>
      <c r="AB50" s="250">
        <v>997</v>
      </c>
      <c r="AC50" s="250">
        <f t="shared" si="36"/>
        <v>4550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EATON</v>
      </c>
      <c r="AK50" s="2">
        <f t="shared" si="38"/>
        <v>1116</v>
      </c>
      <c r="AL50">
        <f t="shared" si="48"/>
        <v>1116</v>
      </c>
      <c r="AM50" s="2">
        <f t="shared" si="39"/>
        <v>1067</v>
      </c>
      <c r="AN50">
        <f t="shared" si="49"/>
        <v>1067</v>
      </c>
      <c r="AO50" s="2">
        <f t="shared" si="40"/>
        <v>589</v>
      </c>
      <c r="AP50">
        <f t="shared" si="41"/>
        <v>589</v>
      </c>
      <c r="AQ50" s="2">
        <f t="shared" si="42"/>
        <v>460</v>
      </c>
      <c r="AR50">
        <f t="shared" si="43"/>
        <v>460</v>
      </c>
      <c r="AT50" s="2">
        <f t="shared" si="44"/>
        <v>389</v>
      </c>
      <c r="AU50">
        <f t="shared" si="45"/>
        <v>389</v>
      </c>
      <c r="AV50" s="2">
        <f t="shared" si="46"/>
        <v>356</v>
      </c>
      <c r="AW50">
        <f t="shared" si="47"/>
        <v>356</v>
      </c>
      <c r="BE50" s="5">
        <f>IF($BH11="y",$BE11,IF($BH12="y",$BE12,IF($BH13="y",$BE13,IF($BH14="y",$BE14,IF($BH15="y",$BE15,IF($BH16="y",$BE16,0))))))</f>
        <v>0</v>
      </c>
      <c r="BG50" s="127" t="str">
        <f t="shared" si="50"/>
        <v>CARLIN</v>
      </c>
      <c r="BH50" s="128"/>
      <c r="BI50" s="5">
        <f t="shared" si="51"/>
        <v>0</v>
      </c>
      <c r="BJ50" s="5">
        <f t="shared" si="52"/>
        <v>0</v>
      </c>
      <c r="BK50" s="5">
        <f t="shared" si="53"/>
        <v>3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HIGGINSON</v>
      </c>
      <c r="AA51" s="250">
        <v>1006</v>
      </c>
      <c r="AB51" s="250">
        <v>1006</v>
      </c>
      <c r="AC51" s="250">
        <f t="shared" si="36"/>
        <v>5556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GALLEN</v>
      </c>
      <c r="AK51" s="2">
        <f t="shared" si="38"/>
        <v>1035</v>
      </c>
      <c r="AL51">
        <f t="shared" si="48"/>
        <v>1035</v>
      </c>
      <c r="AM51" s="2">
        <f t="shared" si="39"/>
        <v>986</v>
      </c>
      <c r="AN51">
        <f t="shared" si="49"/>
        <v>986</v>
      </c>
      <c r="AO51" s="2">
        <f t="shared" si="40"/>
        <v>508</v>
      </c>
      <c r="AP51">
        <f t="shared" si="41"/>
        <v>508</v>
      </c>
      <c r="AQ51" s="2">
        <f t="shared" si="42"/>
        <v>379</v>
      </c>
      <c r="AR51">
        <f t="shared" si="43"/>
        <v>379</v>
      </c>
      <c r="AT51" s="2">
        <f t="shared" si="44"/>
        <v>308</v>
      </c>
      <c r="AU51">
        <f t="shared" si="45"/>
        <v>308</v>
      </c>
      <c r="AV51" s="2">
        <f t="shared" si="46"/>
        <v>275</v>
      </c>
      <c r="AW51">
        <f t="shared" si="47"/>
        <v>275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EATON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5</v>
      </c>
      <c r="BN51" s="5">
        <f t="shared" si="54"/>
        <v>0</v>
      </c>
      <c r="BW51" s="5">
        <f t="shared" si="55"/>
        <v>0</v>
      </c>
    </row>
    <row r="52" spans="26:75" x14ac:dyDescent="0.25">
      <c r="Z52" s="253" t="str">
        <v>GALLEN</v>
      </c>
      <c r="AA52" s="250">
        <v>1035</v>
      </c>
      <c r="AB52" s="250">
        <v>1035</v>
      </c>
      <c r="AC52" s="250">
        <f t="shared" si="36"/>
        <v>6591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GUY</v>
      </c>
      <c r="AK52" s="2">
        <f t="shared" si="38"/>
        <v>1452</v>
      </c>
      <c r="AL52">
        <f t="shared" si="48"/>
        <v>1452</v>
      </c>
      <c r="AM52" s="2">
        <f t="shared" si="39"/>
        <v>1403</v>
      </c>
      <c r="AN52">
        <f t="shared" si="49"/>
        <v>1403</v>
      </c>
      <c r="AO52" s="2">
        <f t="shared" si="40"/>
        <v>925</v>
      </c>
      <c r="AP52">
        <f t="shared" si="41"/>
        <v>925</v>
      </c>
      <c r="AQ52" s="2">
        <f t="shared" si="42"/>
        <v>796</v>
      </c>
      <c r="AR52">
        <f t="shared" si="43"/>
        <v>796</v>
      </c>
      <c r="AT52" s="2">
        <f t="shared" si="44"/>
        <v>725</v>
      </c>
      <c r="AU52">
        <f t="shared" si="45"/>
        <v>725</v>
      </c>
      <c r="AV52" s="2">
        <f t="shared" si="46"/>
        <v>692</v>
      </c>
      <c r="AW52">
        <f t="shared" si="47"/>
        <v>692</v>
      </c>
      <c r="BE52" s="5">
        <f>IF($BH23="y",$BE23,IF($BH24="y",$BE24,0))</f>
        <v>0</v>
      </c>
      <c r="BG52" s="127" t="str">
        <f t="shared" si="50"/>
        <v>GALLEN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0</v>
      </c>
      <c r="BN52" s="5">
        <f t="shared" si="54"/>
        <v>0</v>
      </c>
      <c r="BW52" s="5">
        <f t="shared" si="55"/>
        <v>0</v>
      </c>
    </row>
    <row r="53" spans="26:75" x14ac:dyDescent="0.25">
      <c r="Z53" s="253" t="str">
        <v>EATON</v>
      </c>
      <c r="AA53" s="250">
        <v>1116</v>
      </c>
      <c r="AB53" s="250">
        <v>1116</v>
      </c>
      <c r="AC53" s="250">
        <f t="shared" si="36"/>
        <v>7707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HAMLEY</v>
      </c>
      <c r="AK53" s="2">
        <f t="shared" si="38"/>
        <v>656</v>
      </c>
      <c r="AL53">
        <f t="shared" si="48"/>
        <v>656</v>
      </c>
      <c r="AM53" s="2">
        <f t="shared" si="39"/>
        <v>607</v>
      </c>
      <c r="AN53">
        <f t="shared" si="49"/>
        <v>607</v>
      </c>
      <c r="AO53" s="2">
        <f t="shared" si="40"/>
        <v>129</v>
      </c>
      <c r="AP53">
        <f t="shared" si="41"/>
        <v>129</v>
      </c>
      <c r="AQ53" s="2">
        <f t="shared" si="42"/>
        <v>0</v>
      </c>
      <c r="AR53">
        <f t="shared" si="43"/>
        <v>1000000</v>
      </c>
      <c r="AT53" s="2">
        <f t="shared" si="44"/>
        <v>999929</v>
      </c>
      <c r="AU53">
        <f t="shared" si="45"/>
        <v>999929</v>
      </c>
      <c r="AV53" s="2">
        <f t="shared" si="46"/>
        <v>999896</v>
      </c>
      <c r="AW53">
        <f t="shared" si="47"/>
        <v>999896</v>
      </c>
      <c r="BG53" s="127" t="str">
        <f t="shared" si="50"/>
        <v>GUY</v>
      </c>
      <c r="BH53" s="128"/>
      <c r="BI53" s="5">
        <f t="shared" si="51"/>
        <v>0</v>
      </c>
      <c r="BJ53" s="5">
        <f t="shared" si="52"/>
        <v>0</v>
      </c>
      <c r="BK53" s="5">
        <f t="shared" si="53"/>
        <v>0</v>
      </c>
      <c r="BN53" s="5">
        <f t="shared" si="54"/>
        <v>0</v>
      </c>
      <c r="BW53" s="5">
        <f t="shared" si="55"/>
        <v>0</v>
      </c>
    </row>
    <row r="54" spans="26:75" x14ac:dyDescent="0.25">
      <c r="Z54" s="253" t="str">
        <v>CARLIN</v>
      </c>
      <c r="AA54" s="250">
        <v>1204</v>
      </c>
      <c r="AB54" s="250">
        <v>1204</v>
      </c>
      <c r="AC54" s="250">
        <f t="shared" si="36"/>
        <v>8911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HENDERSON</v>
      </c>
      <c r="AK54" s="2">
        <f t="shared" si="38"/>
        <v>760</v>
      </c>
      <c r="AL54">
        <f t="shared" si="48"/>
        <v>760</v>
      </c>
      <c r="AM54" s="2">
        <f t="shared" si="39"/>
        <v>711</v>
      </c>
      <c r="AN54">
        <f t="shared" si="49"/>
        <v>711</v>
      </c>
      <c r="AO54" s="2">
        <f t="shared" si="40"/>
        <v>233</v>
      </c>
      <c r="AP54">
        <f t="shared" si="41"/>
        <v>233</v>
      </c>
      <c r="AQ54" s="2">
        <f t="shared" si="42"/>
        <v>104</v>
      </c>
      <c r="AR54">
        <f t="shared" si="43"/>
        <v>104</v>
      </c>
      <c r="AT54" s="2">
        <f t="shared" si="44"/>
        <v>33</v>
      </c>
      <c r="AU54">
        <f t="shared" si="45"/>
        <v>33</v>
      </c>
      <c r="AV54" s="2">
        <f t="shared" si="46"/>
        <v>0</v>
      </c>
      <c r="AW54">
        <f t="shared" si="47"/>
        <v>1000000</v>
      </c>
      <c r="BG54" s="127" t="str">
        <f t="shared" si="50"/>
        <v>HAMLEY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11</v>
      </c>
      <c r="BN54" s="5">
        <f t="shared" si="54"/>
        <v>0</v>
      </c>
      <c r="BW54" s="5">
        <f t="shared" si="55"/>
        <v>0</v>
      </c>
    </row>
    <row r="55" spans="26:75" x14ac:dyDescent="0.25">
      <c r="Z55" s="253" t="str">
        <v>GUY</v>
      </c>
      <c r="AA55" s="250">
        <v>1452</v>
      </c>
      <c r="AB55" s="250">
        <v>1452</v>
      </c>
      <c r="AC55" s="250">
        <f t="shared" si="36"/>
        <v>10363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HIGGINSON</v>
      </c>
      <c r="AK55" s="2">
        <f t="shared" si="38"/>
        <v>1006</v>
      </c>
      <c r="AL55">
        <f t="shared" si="48"/>
        <v>1006</v>
      </c>
      <c r="AM55" s="2">
        <f t="shared" si="39"/>
        <v>957</v>
      </c>
      <c r="AN55">
        <f t="shared" si="49"/>
        <v>957</v>
      </c>
      <c r="AO55" s="2">
        <f t="shared" si="40"/>
        <v>479</v>
      </c>
      <c r="AP55">
        <f t="shared" si="41"/>
        <v>479</v>
      </c>
      <c r="AQ55" s="2">
        <f t="shared" si="42"/>
        <v>350</v>
      </c>
      <c r="AR55">
        <f t="shared" si="43"/>
        <v>350</v>
      </c>
      <c r="AT55" s="2">
        <f t="shared" si="44"/>
        <v>279</v>
      </c>
      <c r="AU55">
        <f t="shared" si="45"/>
        <v>279</v>
      </c>
      <c r="AV55" s="2">
        <f t="shared" si="46"/>
        <v>246</v>
      </c>
      <c r="AW55">
        <f t="shared" si="47"/>
        <v>246</v>
      </c>
      <c r="BG55" s="127" t="str">
        <f t="shared" si="50"/>
        <v>HENDERSON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4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10363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7"/>
        <v>LEE</v>
      </c>
      <c r="AK56" s="2">
        <f t="shared" si="38"/>
        <v>656</v>
      </c>
      <c r="AL56">
        <f t="shared" si="48"/>
        <v>656</v>
      </c>
      <c r="AM56" s="2">
        <f t="shared" si="39"/>
        <v>607</v>
      </c>
      <c r="AN56">
        <f t="shared" si="49"/>
        <v>607</v>
      </c>
      <c r="AO56" s="2">
        <f t="shared" si="40"/>
        <v>129</v>
      </c>
      <c r="AP56">
        <f t="shared" si="41"/>
        <v>129</v>
      </c>
      <c r="AQ56" s="2">
        <f t="shared" si="42"/>
        <v>0</v>
      </c>
      <c r="AR56">
        <f t="shared" si="43"/>
        <v>1000000</v>
      </c>
      <c r="AT56" s="2">
        <f t="shared" si="44"/>
        <v>999929</v>
      </c>
      <c r="AU56">
        <f t="shared" si="45"/>
        <v>999929</v>
      </c>
      <c r="AV56" s="2">
        <f t="shared" si="46"/>
        <v>999896</v>
      </c>
      <c r="AW56">
        <f t="shared" si="47"/>
        <v>999896</v>
      </c>
      <c r="BG56" s="127" t="str">
        <f t="shared" si="50"/>
        <v>HIGGINSON</v>
      </c>
      <c r="BH56" s="128"/>
      <c r="BI56" s="5">
        <f t="shared" si="51"/>
        <v>0</v>
      </c>
      <c r="BJ56" s="5">
        <f t="shared" si="52"/>
        <v>0</v>
      </c>
      <c r="BK56" s="5">
        <f t="shared" si="53"/>
        <v>3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10363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7"/>
        <v>MCKEEVER</v>
      </c>
      <c r="AK57" s="2">
        <f t="shared" si="38"/>
        <v>727</v>
      </c>
      <c r="AL57">
        <f t="shared" si="48"/>
        <v>727</v>
      </c>
      <c r="AM57" s="2">
        <f t="shared" si="39"/>
        <v>678</v>
      </c>
      <c r="AN57">
        <f t="shared" si="49"/>
        <v>678</v>
      </c>
      <c r="AO57" s="2">
        <f t="shared" si="40"/>
        <v>200</v>
      </c>
      <c r="AP57">
        <f t="shared" si="41"/>
        <v>200</v>
      </c>
      <c r="AQ57" s="2">
        <f t="shared" si="42"/>
        <v>71</v>
      </c>
      <c r="AR57">
        <f t="shared" si="43"/>
        <v>71</v>
      </c>
      <c r="AT57" s="2">
        <f t="shared" si="44"/>
        <v>0</v>
      </c>
      <c r="AU57">
        <f t="shared" si="45"/>
        <v>1000000</v>
      </c>
      <c r="AV57" s="2">
        <f t="shared" si="46"/>
        <v>999967</v>
      </c>
      <c r="AW57">
        <f t="shared" si="47"/>
        <v>999967</v>
      </c>
      <c r="BG57" s="127" t="str">
        <f t="shared" si="50"/>
        <v>LEE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6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10363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37"/>
        <v>MILLER</v>
      </c>
      <c r="AK58" s="2">
        <f t="shared" si="38"/>
        <v>49</v>
      </c>
      <c r="AL58">
        <f t="shared" si="48"/>
        <v>49</v>
      </c>
      <c r="AM58" s="2">
        <f t="shared" si="39"/>
        <v>0</v>
      </c>
      <c r="AN58">
        <f t="shared" si="49"/>
        <v>1000000</v>
      </c>
      <c r="AO58" s="2">
        <f t="shared" si="40"/>
        <v>999522</v>
      </c>
      <c r="AP58">
        <f t="shared" si="41"/>
        <v>999522</v>
      </c>
      <c r="AQ58" s="2">
        <f t="shared" si="42"/>
        <v>999393</v>
      </c>
      <c r="AR58">
        <f t="shared" si="43"/>
        <v>999393</v>
      </c>
      <c r="AT58" s="2">
        <f t="shared" si="44"/>
        <v>999322</v>
      </c>
      <c r="AU58">
        <f t="shared" si="45"/>
        <v>999322</v>
      </c>
      <c r="AV58" s="2">
        <f t="shared" si="46"/>
        <v>999289</v>
      </c>
      <c r="AW58">
        <f t="shared" si="47"/>
        <v>999289</v>
      </c>
      <c r="BG58" s="127" t="str">
        <f t="shared" si="50"/>
        <v>MCKEEVER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7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10363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37"/>
        <v>TRAYNOR</v>
      </c>
      <c r="AK59" s="2">
        <f t="shared" si="38"/>
        <v>527</v>
      </c>
      <c r="AL59">
        <f t="shared" si="48"/>
        <v>527</v>
      </c>
      <c r="AM59" s="2">
        <f t="shared" si="39"/>
        <v>478</v>
      </c>
      <c r="AN59">
        <f t="shared" si="49"/>
        <v>478</v>
      </c>
      <c r="AO59" s="2">
        <f t="shared" si="40"/>
        <v>0</v>
      </c>
      <c r="AP59">
        <f t="shared" si="41"/>
        <v>1000000</v>
      </c>
      <c r="AQ59" s="2">
        <f t="shared" si="42"/>
        <v>999871</v>
      </c>
      <c r="AR59">
        <f t="shared" si="43"/>
        <v>999871</v>
      </c>
      <c r="AT59" s="2">
        <f t="shared" si="44"/>
        <v>999800</v>
      </c>
      <c r="AU59">
        <f t="shared" si="45"/>
        <v>999800</v>
      </c>
      <c r="AV59" s="2">
        <f t="shared" si="46"/>
        <v>999767</v>
      </c>
      <c r="AW59">
        <f t="shared" si="47"/>
        <v>999767</v>
      </c>
      <c r="BG59" s="127" t="str">
        <f t="shared" si="50"/>
        <v>MILLER</v>
      </c>
      <c r="BH59" s="128"/>
      <c r="BI59" s="5">
        <f t="shared" si="51"/>
        <v>0</v>
      </c>
      <c r="BJ59" s="5">
        <f t="shared" si="52"/>
        <v>-49</v>
      </c>
      <c r="BK59" s="5">
        <f t="shared" si="53"/>
        <v>-49</v>
      </c>
      <c r="BN59" s="5">
        <f t="shared" si="54"/>
        <v>-49</v>
      </c>
      <c r="BW59" s="5">
        <f t="shared" si="55"/>
        <v>49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10363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999951</v>
      </c>
      <c r="AN60">
        <f t="shared" si="49"/>
        <v>999951</v>
      </c>
      <c r="AO60" s="2">
        <f t="shared" si="40"/>
        <v>999473</v>
      </c>
      <c r="AP60">
        <f t="shared" si="41"/>
        <v>999473</v>
      </c>
      <c r="AQ60" s="2">
        <f t="shared" si="42"/>
        <v>999344</v>
      </c>
      <c r="AR60">
        <f t="shared" si="43"/>
        <v>999344</v>
      </c>
      <c r="AT60" s="2">
        <f t="shared" si="44"/>
        <v>999273</v>
      </c>
      <c r="AU60">
        <f t="shared" si="45"/>
        <v>999273</v>
      </c>
      <c r="AV60" s="2">
        <f t="shared" si="46"/>
        <v>999240</v>
      </c>
      <c r="AW60">
        <f t="shared" si="47"/>
        <v>999240</v>
      </c>
      <c r="BG60" s="127" t="str">
        <f t="shared" si="50"/>
        <v>TRAYNOR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1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10363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999951</v>
      </c>
      <c r="AN61">
        <f t="shared" si="49"/>
        <v>999951</v>
      </c>
      <c r="AO61" s="2">
        <f t="shared" si="40"/>
        <v>999473</v>
      </c>
      <c r="AP61">
        <f t="shared" si="41"/>
        <v>999473</v>
      </c>
      <c r="AQ61" s="2">
        <f t="shared" si="42"/>
        <v>999344</v>
      </c>
      <c r="AR61">
        <f t="shared" si="43"/>
        <v>999344</v>
      </c>
      <c r="AT61" s="2">
        <f t="shared" si="44"/>
        <v>999273</v>
      </c>
      <c r="AU61">
        <f t="shared" si="45"/>
        <v>999273</v>
      </c>
      <c r="AV61" s="2">
        <f t="shared" si="46"/>
        <v>999240</v>
      </c>
      <c r="AW61">
        <f t="shared" si="47"/>
        <v>999240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10363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999951</v>
      </c>
      <c r="AN62">
        <f t="shared" si="49"/>
        <v>999951</v>
      </c>
      <c r="AO62" s="2">
        <f t="shared" si="40"/>
        <v>999473</v>
      </c>
      <c r="AP62">
        <f t="shared" si="41"/>
        <v>999473</v>
      </c>
      <c r="AQ62" s="2">
        <f t="shared" si="42"/>
        <v>999344</v>
      </c>
      <c r="AR62">
        <f t="shared" si="43"/>
        <v>999344</v>
      </c>
      <c r="AT62" s="2">
        <f t="shared" si="44"/>
        <v>999273</v>
      </c>
      <c r="AU62">
        <f t="shared" si="45"/>
        <v>999273</v>
      </c>
      <c r="AV62" s="2">
        <f t="shared" si="46"/>
        <v>999240</v>
      </c>
      <c r="AW62">
        <f t="shared" si="47"/>
        <v>999240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10363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999951</v>
      </c>
      <c r="AN63">
        <f t="shared" si="49"/>
        <v>999951</v>
      </c>
      <c r="AO63" s="2">
        <f t="shared" si="40"/>
        <v>999473</v>
      </c>
      <c r="AP63">
        <f t="shared" si="41"/>
        <v>999473</v>
      </c>
      <c r="AQ63" s="2">
        <f t="shared" si="42"/>
        <v>999344</v>
      </c>
      <c r="AR63">
        <f t="shared" si="43"/>
        <v>999344</v>
      </c>
      <c r="AT63" s="2">
        <f t="shared" si="44"/>
        <v>999273</v>
      </c>
      <c r="AU63">
        <f t="shared" si="45"/>
        <v>999273</v>
      </c>
      <c r="AV63" s="2">
        <f t="shared" si="46"/>
        <v>999240</v>
      </c>
      <c r="AW63">
        <f t="shared" si="47"/>
        <v>999240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999951</v>
      </c>
      <c r="AN64">
        <f t="shared" si="49"/>
        <v>999951</v>
      </c>
      <c r="AO64" s="2">
        <f t="shared" si="40"/>
        <v>999473</v>
      </c>
      <c r="AP64">
        <f t="shared" si="41"/>
        <v>999473</v>
      </c>
      <c r="AQ64" s="2">
        <f t="shared" si="42"/>
        <v>999344</v>
      </c>
      <c r="AR64">
        <f t="shared" si="43"/>
        <v>999344</v>
      </c>
      <c r="AT64" s="2">
        <f t="shared" si="44"/>
        <v>999273</v>
      </c>
      <c r="AU64">
        <f t="shared" si="45"/>
        <v>999273</v>
      </c>
      <c r="AV64" s="2">
        <f t="shared" si="46"/>
        <v>999240</v>
      </c>
      <c r="AW64">
        <f t="shared" si="47"/>
        <v>999240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999951</v>
      </c>
      <c r="AN65">
        <f t="shared" si="49"/>
        <v>999951</v>
      </c>
      <c r="AO65" s="2">
        <f t="shared" si="40"/>
        <v>999473</v>
      </c>
      <c r="AP65">
        <f t="shared" si="41"/>
        <v>999473</v>
      </c>
      <c r="AQ65" s="2">
        <f t="shared" si="42"/>
        <v>999344</v>
      </c>
      <c r="AR65">
        <f t="shared" si="43"/>
        <v>999344</v>
      </c>
      <c r="AT65" s="2">
        <f t="shared" si="44"/>
        <v>999273</v>
      </c>
      <c r="AU65">
        <f t="shared" si="45"/>
        <v>999273</v>
      </c>
      <c r="AV65" s="2">
        <f t="shared" si="46"/>
        <v>999240</v>
      </c>
      <c r="AW65">
        <f t="shared" si="47"/>
        <v>999240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999951</v>
      </c>
      <c r="AN66">
        <f t="shared" si="49"/>
        <v>999951</v>
      </c>
      <c r="AO66" s="2">
        <f t="shared" si="40"/>
        <v>999473</v>
      </c>
      <c r="AP66">
        <f t="shared" si="41"/>
        <v>999473</v>
      </c>
      <c r="AQ66" s="2">
        <f t="shared" si="42"/>
        <v>999344</v>
      </c>
      <c r="AR66">
        <f t="shared" si="43"/>
        <v>999344</v>
      </c>
      <c r="AT66" s="2">
        <f t="shared" si="44"/>
        <v>999273</v>
      </c>
      <c r="AU66">
        <f t="shared" si="45"/>
        <v>999273</v>
      </c>
      <c r="AV66" s="2">
        <f t="shared" si="46"/>
        <v>999240</v>
      </c>
      <c r="AW66">
        <f t="shared" si="47"/>
        <v>999240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999951</v>
      </c>
      <c r="AN67">
        <f t="shared" si="49"/>
        <v>999951</v>
      </c>
      <c r="AO67" s="2">
        <f t="shared" si="40"/>
        <v>999473</v>
      </c>
      <c r="AP67">
        <f t="shared" si="41"/>
        <v>999473</v>
      </c>
      <c r="AQ67" s="2">
        <f t="shared" si="42"/>
        <v>999344</v>
      </c>
      <c r="AR67">
        <f t="shared" si="43"/>
        <v>999344</v>
      </c>
      <c r="AT67" s="2">
        <f t="shared" si="44"/>
        <v>999273</v>
      </c>
      <c r="AU67">
        <f t="shared" si="45"/>
        <v>999273</v>
      </c>
      <c r="AV67" s="2">
        <f t="shared" si="46"/>
        <v>999240</v>
      </c>
      <c r="AW67">
        <f t="shared" si="47"/>
        <v>999240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225</v>
      </c>
      <c r="BI69" s="5">
        <f>BG26</f>
        <v>0</v>
      </c>
      <c r="BJ69" s="5">
        <f>CE28</f>
        <v>8</v>
      </c>
      <c r="BK69" s="5">
        <f>BI69+BJ69</f>
        <v>8</v>
      </c>
      <c r="BW69" s="5">
        <f>SUM(BW49:BW68)</f>
        <v>49</v>
      </c>
    </row>
    <row r="70" spans="36:75" x14ac:dyDescent="0.25">
      <c r="BK70" s="5">
        <f>BG27+CE29</f>
        <v>49</v>
      </c>
    </row>
    <row r="82" spans="41:46" x14ac:dyDescent="0.25">
      <c r="AO82" s="5">
        <f>IF(AO20&lt;&gt;0,1,0)</f>
        <v>1</v>
      </c>
      <c r="AP82" s="5"/>
      <c r="AQ82" s="5">
        <f t="shared" ref="AQ82:AR88" si="60">IF(AQ20&lt;&gt;0,1,0)</f>
        <v>0</v>
      </c>
      <c r="AR82" s="19">
        <f t="shared" si="60"/>
        <v>1</v>
      </c>
      <c r="AS82" s="19"/>
      <c r="AT82" s="5">
        <f>SUM(AO82:AR82)</f>
        <v>2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2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226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F11</f>
        <v>1</v>
      </c>
      <c r="DF211" s="233">
        <f>G11</f>
        <v>998</v>
      </c>
    </row>
    <row r="212" spans="105:110" ht="15.5" x14ac:dyDescent="0.35">
      <c r="DA212" s="232" t="str">
        <f t="shared" ref="DA212:DA230" si="63">IF(A12="Elected","E",IF(A12="Excluded","Excluded",""))&amp;IF(B12&gt;0,B12,"")</f>
        <v/>
      </c>
      <c r="DB212" s="232" t="str">
        <f t="shared" ref="DB212:DF227" si="64">C12</f>
        <v>CARLIN</v>
      </c>
      <c r="DC212" s="232" t="str">
        <f t="shared" si="64"/>
        <v>Sinn Féin</v>
      </c>
      <c r="DD212" s="233">
        <f t="shared" si="64"/>
        <v>1204</v>
      </c>
      <c r="DE212" s="233">
        <f t="shared" si="64"/>
        <v>3</v>
      </c>
      <c r="DF212" s="233">
        <f t="shared" si="64"/>
        <v>1207</v>
      </c>
    </row>
    <row r="213" spans="105:110" ht="15.5" x14ac:dyDescent="0.35">
      <c r="DA213" s="232" t="str">
        <f t="shared" si="63"/>
        <v/>
      </c>
      <c r="DB213" s="232" t="str">
        <f t="shared" si="64"/>
        <v>EATON</v>
      </c>
      <c r="DC213" s="232" t="str">
        <f t="shared" si="64"/>
        <v>Alliance Party</v>
      </c>
      <c r="DD213" s="233">
        <f t="shared" si="64"/>
        <v>1116</v>
      </c>
      <c r="DE213" s="233">
        <f t="shared" si="64"/>
        <v>5</v>
      </c>
      <c r="DF213" s="233">
        <f t="shared" si="64"/>
        <v>1121</v>
      </c>
    </row>
    <row r="214" spans="105:110" ht="15.5" x14ac:dyDescent="0.35">
      <c r="DA214" s="232" t="str">
        <f t="shared" si="63"/>
        <v/>
      </c>
      <c r="DB214" s="232" t="str">
        <f t="shared" si="64"/>
        <v>GALLEN</v>
      </c>
      <c r="DC214" s="232" t="str">
        <f t="shared" si="64"/>
        <v>SDLP</v>
      </c>
      <c r="DD214" s="233">
        <f t="shared" si="64"/>
        <v>1035</v>
      </c>
      <c r="DE214" s="233">
        <f t="shared" si="64"/>
        <v>0</v>
      </c>
      <c r="DF214" s="233">
        <f t="shared" si="64"/>
        <v>1035</v>
      </c>
    </row>
    <row r="215" spans="105:110" ht="15.5" x14ac:dyDescent="0.35">
      <c r="DA215" s="232" t="str">
        <f t="shared" si="63"/>
        <v>E</v>
      </c>
      <c r="DB215" s="232" t="str">
        <f t="shared" si="64"/>
        <v>GUY</v>
      </c>
      <c r="DC215" s="232" t="str">
        <f t="shared" si="64"/>
        <v>Alliance Party</v>
      </c>
      <c r="DD215" s="233">
        <f t="shared" si="64"/>
        <v>1452</v>
      </c>
      <c r="DE215" s="233">
        <f t="shared" si="64"/>
        <v>0</v>
      </c>
      <c r="DF215" s="233">
        <f t="shared" si="64"/>
        <v>1452</v>
      </c>
    </row>
    <row r="216" spans="105:110" ht="15.5" x14ac:dyDescent="0.35">
      <c r="DA216" s="232" t="str">
        <f t="shared" si="63"/>
        <v/>
      </c>
      <c r="DB216" s="232" t="str">
        <f t="shared" si="64"/>
        <v>HAMLEY</v>
      </c>
      <c r="DC216" s="232" t="str">
        <f t="shared" si="64"/>
        <v>Green Party NI</v>
      </c>
      <c r="DD216" s="233">
        <f t="shared" si="64"/>
        <v>656</v>
      </c>
      <c r="DE216" s="233">
        <f t="shared" si="64"/>
        <v>11</v>
      </c>
      <c r="DF216" s="233">
        <f t="shared" si="64"/>
        <v>667</v>
      </c>
    </row>
    <row r="217" spans="105:110" ht="15.5" x14ac:dyDescent="0.35">
      <c r="DA217" s="232" t="str">
        <f t="shared" si="63"/>
        <v/>
      </c>
      <c r="DB217" s="232" t="str">
        <f t="shared" si="64"/>
        <v>HENDERSON</v>
      </c>
      <c r="DC217" s="232" t="str">
        <f t="shared" si="64"/>
        <v>UUP</v>
      </c>
      <c r="DD217" s="233">
        <f t="shared" si="64"/>
        <v>760</v>
      </c>
      <c r="DE217" s="233">
        <f t="shared" si="64"/>
        <v>4</v>
      </c>
      <c r="DF217" s="233">
        <f t="shared" si="64"/>
        <v>764</v>
      </c>
    </row>
    <row r="218" spans="105:110" ht="15.5" x14ac:dyDescent="0.35">
      <c r="DA218" s="232" t="str">
        <f t="shared" si="63"/>
        <v/>
      </c>
      <c r="DB218" s="232" t="str">
        <f t="shared" si="64"/>
        <v>HIGGINSON</v>
      </c>
      <c r="DC218" s="232" t="str">
        <f t="shared" si="64"/>
        <v>D.U.P.</v>
      </c>
      <c r="DD218" s="233">
        <f t="shared" si="64"/>
        <v>1006</v>
      </c>
      <c r="DE218" s="233">
        <f t="shared" si="64"/>
        <v>3</v>
      </c>
      <c r="DF218" s="233">
        <f t="shared" si="64"/>
        <v>1009</v>
      </c>
    </row>
    <row r="219" spans="105:110" ht="15.5" x14ac:dyDescent="0.35">
      <c r="DA219" s="232" t="str">
        <f t="shared" si="63"/>
        <v/>
      </c>
      <c r="DB219" s="232" t="str">
        <f t="shared" si="64"/>
        <v>LEE</v>
      </c>
      <c r="DC219" s="232" t="str">
        <f t="shared" si="64"/>
        <v xml:space="preserve">SDLP </v>
      </c>
      <c r="DD219" s="233">
        <f t="shared" si="64"/>
        <v>656</v>
      </c>
      <c r="DE219" s="233">
        <f t="shared" si="64"/>
        <v>6</v>
      </c>
      <c r="DF219" s="233">
        <f t="shared" si="64"/>
        <v>662</v>
      </c>
    </row>
    <row r="220" spans="105:110" ht="15.5" x14ac:dyDescent="0.35">
      <c r="DA220" s="232" t="str">
        <f t="shared" si="63"/>
        <v/>
      </c>
      <c r="DB220" s="232" t="str">
        <f t="shared" si="64"/>
        <v>MCKEEVER</v>
      </c>
      <c r="DC220" s="232" t="str">
        <f t="shared" si="64"/>
        <v>Alliance Party</v>
      </c>
      <c r="DD220" s="233">
        <f t="shared" si="64"/>
        <v>727</v>
      </c>
      <c r="DE220" s="233">
        <f t="shared" si="64"/>
        <v>7</v>
      </c>
      <c r="DF220" s="233">
        <f t="shared" si="64"/>
        <v>734</v>
      </c>
    </row>
    <row r="221" spans="105:110" ht="15.5" x14ac:dyDescent="0.35">
      <c r="DA221" s="232" t="str">
        <f t="shared" si="63"/>
        <v>Excluded</v>
      </c>
      <c r="DB221" s="232" t="str">
        <f t="shared" si="64"/>
        <v>MILLER</v>
      </c>
      <c r="DC221" s="232" t="str">
        <f t="shared" si="64"/>
        <v>Independent</v>
      </c>
      <c r="DD221" s="233">
        <f t="shared" si="64"/>
        <v>49</v>
      </c>
      <c r="DE221" s="233">
        <f t="shared" si="64"/>
        <v>-49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 t="str">
        <f t="shared" si="64"/>
        <v>TRAYNOR</v>
      </c>
      <c r="DC222" s="232" t="str">
        <f t="shared" si="64"/>
        <v>D.U.P.</v>
      </c>
      <c r="DD222" s="233">
        <f t="shared" si="64"/>
        <v>527</v>
      </c>
      <c r="DE222" s="244">
        <f t="shared" si="64"/>
        <v>1</v>
      </c>
      <c r="DF222" s="244">
        <f t="shared" si="64"/>
        <v>528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127</v>
      </c>
      <c r="DD231" s="234"/>
      <c r="DE231" s="232">
        <f>F31</f>
        <v>8</v>
      </c>
      <c r="DF231" s="232">
        <f>G31</f>
        <v>8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>G32</f>
        <v>10185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DE209:DF209"/>
    <mergeCell ref="BI30:BK31"/>
    <mergeCell ref="CB31:CE32"/>
    <mergeCell ref="BP30:BP32"/>
    <mergeCell ref="BX30:BY32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F7:G7"/>
    <mergeCell ref="F9:G9"/>
    <mergeCell ref="H9:I9"/>
    <mergeCell ref="J9:K9"/>
    <mergeCell ref="L9:M9"/>
    <mergeCell ref="L7:M7"/>
    <mergeCell ref="L8:M8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CB2:CE2"/>
    <mergeCell ref="BI3:BK3"/>
    <mergeCell ref="BT3:BZ3"/>
    <mergeCell ref="BP5:BP7"/>
    <mergeCell ref="Z6:AF7"/>
    <mergeCell ref="K1:L1"/>
    <mergeCell ref="H3:I3"/>
    <mergeCell ref="O4:S4"/>
    <mergeCell ref="O3:S3"/>
    <mergeCell ref="H4:I4"/>
    <mergeCell ref="O2:S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</mergeCells>
  <phoneticPr fontId="0" type="noConversion"/>
  <conditionalFormatting sqref="BF30:BG31">
    <cfRule type="cellIs" dxfId="150" priority="1" stopIfTrue="1" operator="equal">
      <formula>"NONE"</formula>
    </cfRule>
    <cfRule type="cellIs" dxfId="149" priority="2" stopIfTrue="1" operator="notEqual">
      <formula>"NONE"</formula>
    </cfRule>
  </conditionalFormatting>
  <conditionalFormatting sqref="BX30">
    <cfRule type="cellIs" dxfId="148" priority="3" stopIfTrue="1" operator="equal">
      <formula>"Calculations OK"</formula>
    </cfRule>
    <cfRule type="cellIs" dxfId="147" priority="4" stopIfTrue="1" operator="equal">
      <formula>"Check Count for Error"</formula>
    </cfRule>
  </conditionalFormatting>
  <conditionalFormatting sqref="G33 V4:W4">
    <cfRule type="cellIs" dxfId="146" priority="5" stopIfTrue="1" operator="equal">
      <formula>"Totals Correct"</formula>
    </cfRule>
    <cfRule type="cellIs" dxfId="145" priority="6" stopIfTrue="1" operator="equal">
      <formula>"ERROR"</formula>
    </cfRule>
  </conditionalFormatting>
  <conditionalFormatting sqref="U4">
    <cfRule type="cellIs" dxfId="144" priority="7" stopIfTrue="1" operator="equal">
      <formula>"OK TO MOVE TO NEXT STAGE"</formula>
    </cfRule>
    <cfRule type="cellIs" dxfId="143" priority="8" stopIfTrue="1" operator="equal">
      <formula>"DO NOT MOVE TO NEXT STAGE"</formula>
    </cfRule>
  </conditionalFormatting>
  <conditionalFormatting sqref="BP30:BP32">
    <cfRule type="cellIs" dxfId="142" priority="9" stopIfTrue="1" operator="equal">
      <formula>"ERROR"</formula>
    </cfRule>
  </conditionalFormatting>
  <conditionalFormatting sqref="AL3">
    <cfRule type="cellIs" dxfId="141" priority="10" stopIfTrue="1" operator="notEqual">
      <formula>0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6.542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" customWidth="1"/>
    <col min="43" max="43" width="11.26953125" customWidth="1"/>
    <col min="44" max="44" width="16.26953125" customWidth="1"/>
    <col min="45" max="45" width="210.1796875" customWidth="1"/>
    <col min="50" max="50" width="219.542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3" customWidth="1"/>
    <col min="67" max="67" width="10.453125" customWidth="1"/>
    <col min="68" max="68" width="8.1796875" customWidth="1"/>
    <col min="69" max="69" width="1.81640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1">
        <f>'Basic Input'!C2</f>
        <v>45064</v>
      </c>
      <c r="L1" s="311"/>
      <c r="Z1" s="10" t="s">
        <v>228</v>
      </c>
      <c r="AQ1" s="33"/>
      <c r="AZ1" s="10" t="s">
        <v>130</v>
      </c>
      <c r="BE1" s="34" t="str">
        <f>IF(AT5="T","COMPLETE THIS FORM","YOU HAVE NOT SELECTED TO COMPLETE THIS FORM")</f>
        <v>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229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178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10" t="s">
        <v>108</v>
      </c>
      <c r="CB2" s="337" t="s">
        <v>135</v>
      </c>
      <c r="CC2" s="338"/>
      <c r="CD2" s="338"/>
      <c r="CE2" s="339"/>
    </row>
    <row r="3" spans="1:105" ht="22.5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178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230</v>
      </c>
      <c r="P4" s="338"/>
      <c r="Q4" s="338"/>
      <c r="R4" s="338"/>
      <c r="S4" s="339"/>
      <c r="U4" s="324" t="str">
        <f>IF(I33="ERROR","DO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187</v>
      </c>
      <c r="AT5" s="7" t="str">
        <f>IF(AQ5=0,0,IF(AQ5="Y","T","E"))</f>
        <v>T</v>
      </c>
      <c r="BE5" s="61" t="str">
        <f>'Verification of Boxes'!J10</f>
        <v>BASSETT</v>
      </c>
      <c r="BF5" s="64">
        <v>24</v>
      </c>
      <c r="BG5" s="100">
        <f t="shared" ref="BG5:BG24" si="0">IF(BC$23&gt;0,BF5*BC$23,BF5*BC$29)</f>
        <v>2.88</v>
      </c>
      <c r="BH5" s="150"/>
      <c r="BI5" s="5">
        <f>IF(A11&lt;&gt;0,A11,0)</f>
        <v>0</v>
      </c>
      <c r="BJ5" s="5">
        <f>IF(C11=0,0,IF(G11=0,"Excluded",0))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231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CARLIN</v>
      </c>
      <c r="BF6" s="64">
        <v>52</v>
      </c>
      <c r="BG6" s="100">
        <f t="shared" si="0"/>
        <v>6.24</v>
      </c>
      <c r="BH6" s="150"/>
      <c r="BI6" s="5">
        <f t="shared" ref="BI6:BI24" si="1">IF(A12&lt;&gt;0,A12,0)</f>
        <v>0</v>
      </c>
      <c r="BJ6" s="5">
        <f t="shared" ref="BJ6:BJ24" si="2">IF(C12=0,0,IF(G12=0,"Excluded",0))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3" t="str">
        <f>'Stage 2'!F7:G7</f>
        <v>Exclude</v>
      </c>
      <c r="G7" s="304"/>
      <c r="H7" s="361" t="str">
        <f>IF($AT5=0,0,IF($AT5="T",$AZ7,$BR4))</f>
        <v>Transfer</v>
      </c>
      <c r="I7" s="362"/>
      <c r="J7" s="303"/>
      <c r="K7" s="304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>
        <v>518</v>
      </c>
      <c r="BG7" s="100">
        <f t="shared" si="0"/>
        <v>62.16</v>
      </c>
      <c r="BH7" s="150"/>
      <c r="BI7" s="5">
        <f t="shared" si="1"/>
        <v>0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03" t="str">
        <f>'Stage 2'!F8:G8</f>
        <v>Miller</v>
      </c>
      <c r="G8" s="304"/>
      <c r="H8" s="359" t="str">
        <f>IF($H7="Transfer",$BA8,$BT3)</f>
        <v>GUY</v>
      </c>
      <c r="I8" s="360"/>
      <c r="J8" s="301"/>
      <c r="K8" s="302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 t="str">
        <f>IF(BE47&lt;&gt;0,BE47,IF(BE48&lt;&gt;0,BE48,IF(BE49&lt;&gt;0,BE49,IF(BE50&lt;&gt;0,BE50,0))))</f>
        <v>GUY</v>
      </c>
      <c r="BE8" s="61" t="str">
        <f>'Verification of Boxes'!J13</f>
        <v>GALLEN</v>
      </c>
      <c r="BF8" s="64">
        <v>59</v>
      </c>
      <c r="BG8" s="100">
        <f t="shared" si="0"/>
        <v>7.08</v>
      </c>
      <c r="BH8" s="150"/>
      <c r="BI8" s="5">
        <f t="shared" si="1"/>
        <v>0</v>
      </c>
      <c r="BJ8" s="5">
        <f t="shared" si="2"/>
        <v>0</v>
      </c>
      <c r="BN8" s="5">
        <f>IF(A11&lt;&gt;0,A11,0)</f>
        <v>0</v>
      </c>
      <c r="BO8" s="7">
        <f t="shared" ref="BO8:BO27" si="3">IF(AA14&gt;=$M$3,"Elected",AA14)</f>
        <v>998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285" t="s">
        <v>116</v>
      </c>
      <c r="W9" s="287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IF(AT87&lt;&gt;0,"Exclude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 t="s">
        <v>187</v>
      </c>
      <c r="BI9" s="5" t="str">
        <f t="shared" si="1"/>
        <v>Elected</v>
      </c>
      <c r="BJ9" s="5">
        <f t="shared" si="2"/>
        <v>0</v>
      </c>
      <c r="BN9" s="5">
        <f t="shared" ref="BN9:BN27" si="11">IF(A12&lt;&gt;0,A12,0)</f>
        <v>0</v>
      </c>
      <c r="BO9" s="7">
        <f t="shared" si="3"/>
        <v>1207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6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>
        <v>1452</v>
      </c>
      <c r="BE10" s="61" t="str">
        <f>'Verification of Boxes'!J15</f>
        <v>HAMLEY</v>
      </c>
      <c r="BF10" s="64">
        <v>68</v>
      </c>
      <c r="BG10" s="100">
        <f t="shared" si="0"/>
        <v>8.16</v>
      </c>
      <c r="BH10" s="150"/>
      <c r="BI10" s="5">
        <f t="shared" si="1"/>
        <v>0</v>
      </c>
      <c r="BJ10" s="5">
        <f t="shared" si="2"/>
        <v>0</v>
      </c>
      <c r="BN10" s="5">
        <f t="shared" si="11"/>
        <v>0</v>
      </c>
      <c r="BO10" s="7">
        <f t="shared" si="3"/>
        <v>1121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30">
        <f>IF('Stage 2'!A11&lt;&gt;0,'Stage 2'!A11,IF(I11&gt;=$M$3,"Elected",IF(BP8&lt;&gt;0,"Excluded",0)))</f>
        <v>0</v>
      </c>
      <c r="B11" s="235">
        <f>'Stage 2'!B11</f>
        <v>0</v>
      </c>
      <c r="C11" s="155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 t="shared" ref="H11:H30" si="12">IF($C11&lt;&gt;0,$BK47,0)</f>
        <v>2.88</v>
      </c>
      <c r="I11" s="27">
        <f t="shared" ref="I11:I31" si="13">IF(H$8=0,0,G11+H11)</f>
        <v>1000.88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>
        <v>41</v>
      </c>
      <c r="BG11" s="100">
        <f t="shared" si="0"/>
        <v>4.92</v>
      </c>
      <c r="BH11" s="150"/>
      <c r="BI11" s="5">
        <f t="shared" si="1"/>
        <v>0</v>
      </c>
      <c r="BJ11" s="5">
        <f t="shared" si="2"/>
        <v>0</v>
      </c>
      <c r="BN11" s="5">
        <f t="shared" si="11"/>
        <v>0</v>
      </c>
      <c r="BO11" s="7">
        <f t="shared" si="3"/>
        <v>1035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31">
        <f>IF('Stage 2'!A12&lt;&gt;0,'Stage 2'!A12,IF(I12&gt;=$M$3,"Elected",IF(BP9&lt;&gt;0,"Excluded",0)))</f>
        <v>0</v>
      </c>
      <c r="B12" s="235">
        <f>'Stage 2'!B12</f>
        <v>0</v>
      </c>
      <c r="C12" s="119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 t="shared" si="12"/>
        <v>6.24</v>
      </c>
      <c r="I12" s="27">
        <f t="shared" si="13"/>
        <v>1213.24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171</v>
      </c>
      <c r="BA12" s="3" t="s">
        <v>172</v>
      </c>
      <c r="BB12" s="3"/>
      <c r="BC12" s="50">
        <f>AG3</f>
        <v>178</v>
      </c>
      <c r="BE12" s="61" t="str">
        <f>'Verification of Boxes'!J17</f>
        <v>HIGGINSON</v>
      </c>
      <c r="BF12" s="64">
        <v>5</v>
      </c>
      <c r="BG12" s="100">
        <f t="shared" si="0"/>
        <v>0.6</v>
      </c>
      <c r="BH12" s="150"/>
      <c r="BI12" s="5">
        <f t="shared" si="1"/>
        <v>0</v>
      </c>
      <c r="BJ12" s="5">
        <f t="shared" si="2"/>
        <v>0</v>
      </c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 t="shared" si="12"/>
        <v>62.16</v>
      </c>
      <c r="I13" s="27">
        <f t="shared" si="13"/>
        <v>1183.1600000000001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119</v>
      </c>
      <c r="AA13" s="144" t="s">
        <v>173</v>
      </c>
      <c r="AB13" s="18"/>
      <c r="AC13" s="18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>
        <v>1452</v>
      </c>
      <c r="BE13" s="61" t="str">
        <f>'Verification of Boxes'!J18</f>
        <v>LEE</v>
      </c>
      <c r="BF13" s="64">
        <v>178</v>
      </c>
      <c r="BG13" s="100">
        <f t="shared" si="0"/>
        <v>21.36</v>
      </c>
      <c r="BH13" s="150"/>
      <c r="BI13" s="5">
        <f t="shared" si="1"/>
        <v>0</v>
      </c>
      <c r="BJ13" s="5">
        <f t="shared" si="2"/>
        <v>0</v>
      </c>
      <c r="BN13" s="5">
        <f t="shared" si="11"/>
        <v>0</v>
      </c>
      <c r="BO13" s="7">
        <f t="shared" si="3"/>
        <v>667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31">
        <f>IF('Stage 2'!A14&lt;&gt;0,'Stage 2'!A14,IF(I14&gt;=$M$3,"Elected",IF(BP11&lt;&gt;0,"Excluded",0)))</f>
        <v>0</v>
      </c>
      <c r="B14" s="235">
        <f>'Stage 2'!B14</f>
        <v>0</v>
      </c>
      <c r="C14" s="119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 t="shared" si="12"/>
        <v>7.08</v>
      </c>
      <c r="I14" s="27">
        <f t="shared" si="13"/>
        <v>1042.08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BASSETT</v>
      </c>
      <c r="AA14" s="142">
        <f>G11</f>
        <v>998</v>
      </c>
      <c r="AB14" s="118"/>
      <c r="AC14" s="118">
        <f t="shared" ref="AC14:AC33" si="21">IF(AA14&gt;0,AA14-AG$4,0)</f>
        <v>-276</v>
      </c>
      <c r="AD14" s="118"/>
      <c r="AE14" s="88" t="str">
        <f>IF(Z14=0,0,IF(AA14&gt;=AG$4,"elected",IF(AA14=0,"excluded","continuing")))</f>
        <v>continuing</v>
      </c>
      <c r="AF14" s="118">
        <f t="shared" ref="AF14:AF33" si="22">IF(AE14="elected",AC14,0)</f>
        <v>0</v>
      </c>
      <c r="AG14" s="143">
        <f t="shared" ref="AG14:AG33" si="23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>
        <v>1</v>
      </c>
      <c r="BE14" s="61" t="str">
        <f>'Verification of Boxes'!J19</f>
        <v>MCKEEVER</v>
      </c>
      <c r="BF14" s="64">
        <v>499</v>
      </c>
      <c r="BG14" s="100">
        <f t="shared" si="0"/>
        <v>59.879999999999995</v>
      </c>
      <c r="BH14" s="150"/>
      <c r="BI14" s="5">
        <f t="shared" si="1"/>
        <v>0</v>
      </c>
      <c r="BJ14" s="5">
        <f t="shared" si="2"/>
        <v>0</v>
      </c>
      <c r="BN14" s="5">
        <f t="shared" si="11"/>
        <v>0</v>
      </c>
      <c r="BO14" s="7">
        <f t="shared" si="3"/>
        <v>764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31" t="str">
        <f>IF('Stage 2'!A15&lt;&gt;0,'Stage 2'!A15,IF(I15&gt;=$M$3,"Elected",IF(BP12&lt;&gt;0,"Excluded",0)))</f>
        <v>Elected</v>
      </c>
      <c r="B15" s="235">
        <f>'Stage 2'!B15</f>
        <v>0</v>
      </c>
      <c r="C15" s="119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 t="shared" si="12"/>
        <v>-178</v>
      </c>
      <c r="I15" s="27">
        <f t="shared" si="13"/>
        <v>1274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CARLIN</v>
      </c>
      <c r="AA15" s="37">
        <f t="shared" ref="AA15:AA33" si="24">G12</f>
        <v>1207</v>
      </c>
      <c r="AB15" s="5"/>
      <c r="AC15" s="5">
        <f t="shared" si="21"/>
        <v>-67</v>
      </c>
      <c r="AD15" s="5"/>
      <c r="AE15" s="5" t="str">
        <f t="shared" ref="AE15:AE33" si="25">IF(Z15=0,0,IF(AA15&gt;=AG$4,"elected",IF(AA15=0,"excluded","continuing")))</f>
        <v>continuing</v>
      </c>
      <c r="AF15" s="5">
        <f t="shared" si="22"/>
        <v>0</v>
      </c>
      <c r="AG15" s="35">
        <f t="shared" si="23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N15" s="5">
        <f t="shared" si="11"/>
        <v>0</v>
      </c>
      <c r="BO15" s="7">
        <f t="shared" si="3"/>
        <v>1009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31">
        <f>IF('Stage 2'!A16&lt;&gt;0,'Stage 2'!A16,IF(I16&gt;=$M$3,"Elected",IF(BP13&lt;&gt;0,"Excluded",0)))</f>
        <v>0</v>
      </c>
      <c r="B16" s="235">
        <f>'Stage 2'!B16</f>
        <v>0</v>
      </c>
      <c r="C16" s="119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 t="shared" si="12"/>
        <v>8.16</v>
      </c>
      <c r="I16" s="27">
        <f t="shared" si="13"/>
        <v>675.16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EATON</v>
      </c>
      <c r="AA16" s="37">
        <f t="shared" si="24"/>
        <v>1121</v>
      </c>
      <c r="AB16" s="5"/>
      <c r="AC16" s="5">
        <f t="shared" si="21"/>
        <v>-153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>
        <v>1</v>
      </c>
      <c r="BG16" s="100">
        <f t="shared" si="0"/>
        <v>0.12</v>
      </c>
      <c r="BH16" s="150"/>
      <c r="BI16" s="5">
        <f t="shared" si="1"/>
        <v>0</v>
      </c>
      <c r="BJ16" s="5">
        <f t="shared" si="2"/>
        <v>0</v>
      </c>
      <c r="BN16" s="5">
        <f t="shared" si="11"/>
        <v>0</v>
      </c>
      <c r="BO16" s="7">
        <f t="shared" si="3"/>
        <v>662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31">
        <f>IF('Stage 2'!A17&lt;&gt;0,'Stage 2'!A17,IF(I17&gt;=$M$3,"Elected",IF(BP14&lt;&gt;0,"Excluded",0)))</f>
        <v>0</v>
      </c>
      <c r="B17" s="235">
        <f>'Stage 2'!B17</f>
        <v>0</v>
      </c>
      <c r="C17" s="119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 t="shared" si="12"/>
        <v>4.92</v>
      </c>
      <c r="I17" s="27">
        <f t="shared" si="13"/>
        <v>768.92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GALLEN</v>
      </c>
      <c r="AA17" s="37">
        <f t="shared" si="24"/>
        <v>1035</v>
      </c>
      <c r="AB17" s="5"/>
      <c r="AC17" s="5">
        <f t="shared" si="21"/>
        <v>-239</v>
      </c>
      <c r="AD17" s="5"/>
      <c r="AE17" s="5" t="str">
        <f t="shared" si="25"/>
        <v>continuing</v>
      </c>
      <c r="AF17" s="5">
        <f t="shared" si="22"/>
        <v>0</v>
      </c>
      <c r="AG17" s="35">
        <f t="shared" si="23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734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31">
        <f>IF('Stage 2'!A18&lt;&gt;0,'Stage 2'!A18,IF(I18&gt;=$M$3,"Elected",IF(BP15&lt;&gt;0,"Excluded",0)))</f>
        <v>0</v>
      </c>
      <c r="B18" s="235">
        <f>'Stage 2'!B18</f>
        <v>0</v>
      </c>
      <c r="C18" s="119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 t="shared" si="12"/>
        <v>0.6</v>
      </c>
      <c r="I18" s="27">
        <f t="shared" si="13"/>
        <v>1009.6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GUY</v>
      </c>
      <c r="AA18" s="37">
        <f t="shared" si="24"/>
        <v>1452</v>
      </c>
      <c r="AB18" s="5"/>
      <c r="AC18" s="5">
        <f t="shared" si="21"/>
        <v>178</v>
      </c>
      <c r="AD18" s="5"/>
      <c r="AE18" s="5" t="str">
        <f t="shared" si="25"/>
        <v>elected</v>
      </c>
      <c r="AF18" s="5">
        <f t="shared" si="22"/>
        <v>178</v>
      </c>
      <c r="AG18" s="35" t="str">
        <f t="shared" si="23"/>
        <v>transfer largest surplus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1445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>
        <f>IF('Stage 2'!A19&lt;&gt;0,'Stage 2'!A19,IF(I19&gt;=$M$3,"Elected",IF(BP16&lt;&gt;0,"Excluded",0)))</f>
        <v>0</v>
      </c>
      <c r="B19" s="235">
        <f>'Stage 2'!B19</f>
        <v>0</v>
      </c>
      <c r="C19" s="119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 t="shared" si="12"/>
        <v>21.36</v>
      </c>
      <c r="I19" s="27">
        <f t="shared" si="13"/>
        <v>683.36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HAMLEY</v>
      </c>
      <c r="AA19" s="37">
        <f t="shared" si="24"/>
        <v>667</v>
      </c>
      <c r="AB19" s="5"/>
      <c r="AC19" s="5">
        <f t="shared" si="21"/>
        <v>-607</v>
      </c>
      <c r="AD19" s="5"/>
      <c r="AE19" s="5" t="str">
        <f t="shared" si="25"/>
        <v>continuing</v>
      </c>
      <c r="AF19" s="5">
        <f t="shared" si="22"/>
        <v>0</v>
      </c>
      <c r="AG19" s="35">
        <f t="shared" si="23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1445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528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 t="shared" si="12"/>
        <v>59.879999999999995</v>
      </c>
      <c r="I20" s="27">
        <f t="shared" si="13"/>
        <v>793.88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HENDERSON</v>
      </c>
      <c r="AA20" s="37">
        <f t="shared" si="24"/>
        <v>764</v>
      </c>
      <c r="AB20" s="5"/>
      <c r="AC20" s="5">
        <f t="shared" si="21"/>
        <v>-510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44" t="s">
        <v>190</v>
      </c>
      <c r="AK20" s="345"/>
      <c r="AL20" s="142">
        <f>AL46</f>
        <v>528</v>
      </c>
      <c r="AM20" s="118"/>
      <c r="AN20" s="142">
        <f>AL20+AG2</f>
        <v>706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 t="str">
        <f>IF('Stage 2'!A21&lt;&gt;0,'Stage 2'!A21,IF(I21&gt;=$M$3,"Elected",IF(BP18&lt;&gt;0,"Excluded",0)))</f>
        <v>Excluded</v>
      </c>
      <c r="B21" s="235">
        <f>'Stage 2'!B21</f>
        <v>0</v>
      </c>
      <c r="C21" s="119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HIGGINSON</v>
      </c>
      <c r="AA21" s="37">
        <f t="shared" si="24"/>
        <v>1009</v>
      </c>
      <c r="AB21" s="5"/>
      <c r="AC21" s="5">
        <f t="shared" si="21"/>
        <v>-265</v>
      </c>
      <c r="AD21" s="5"/>
      <c r="AE21" s="5" t="str">
        <f t="shared" si="25"/>
        <v>continuing</v>
      </c>
      <c r="AF21" s="5">
        <f t="shared" si="22"/>
        <v>0</v>
      </c>
      <c r="AG21" s="35">
        <f t="shared" si="23"/>
        <v>0</v>
      </c>
      <c r="AJ21" s="327" t="s">
        <v>191</v>
      </c>
      <c r="AK21" s="275"/>
      <c r="AL21" s="37">
        <f>IF(AL20=1000000,0,AN46)</f>
        <v>662</v>
      </c>
      <c r="AM21" s="5">
        <f>AL21-AL20</f>
        <v>134</v>
      </c>
      <c r="AN21" s="5">
        <f>IF(AL21=1000000,0,IF(AN20=0,0,AN20+AL21))</f>
        <v>1368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 t="shared" si="12"/>
        <v>0.12</v>
      </c>
      <c r="I22" s="27">
        <f t="shared" si="13"/>
        <v>528.12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 t="str">
        <f>'Verification of Boxes'!J18</f>
        <v>LEE</v>
      </c>
      <c r="AA22" s="37">
        <f t="shared" si="24"/>
        <v>662</v>
      </c>
      <c r="AB22" s="5"/>
      <c r="AC22" s="5">
        <f t="shared" si="21"/>
        <v>-612</v>
      </c>
      <c r="AD22" s="5"/>
      <c r="AE22" s="5" t="str">
        <f t="shared" si="25"/>
        <v>continuing</v>
      </c>
      <c r="AF22" s="5">
        <f t="shared" si="22"/>
        <v>0</v>
      </c>
      <c r="AG22" s="35">
        <f t="shared" si="23"/>
        <v>0</v>
      </c>
      <c r="AJ22" s="327" t="s">
        <v>191</v>
      </c>
      <c r="AK22" s="275"/>
      <c r="AL22" s="37">
        <f>IF(AL21=1000000,0,AP46)</f>
        <v>667</v>
      </c>
      <c r="AM22" s="5">
        <f>IF(AL22=1000000,0,IF(AM21=0,0,AL22-AL21))</f>
        <v>5</v>
      </c>
      <c r="AN22" s="5">
        <f>IF(AL22=1000000,0,IF(AN21=0,0,AN21+AL22))</f>
        <v>2035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 t="str">
        <f>'Verification of Boxes'!J19</f>
        <v>MCKEEVER</v>
      </c>
      <c r="AA23" s="37">
        <f t="shared" si="24"/>
        <v>734</v>
      </c>
      <c r="AB23" s="5"/>
      <c r="AC23" s="5">
        <f t="shared" si="21"/>
        <v>-540</v>
      </c>
      <c r="AD23" s="5"/>
      <c r="AE23" s="5" t="str">
        <f t="shared" si="25"/>
        <v>continuing</v>
      </c>
      <c r="AF23" s="5">
        <f t="shared" si="22"/>
        <v>0</v>
      </c>
      <c r="AG23" s="35">
        <f t="shared" si="23"/>
        <v>0</v>
      </c>
      <c r="AJ23" s="327" t="s">
        <v>191</v>
      </c>
      <c r="AK23" s="275"/>
      <c r="AL23" s="37">
        <f>IF(AL22=1000000,0,AR46)</f>
        <v>734</v>
      </c>
      <c r="AM23" s="5">
        <f>IF(AL23=1000000,0,IF(AM22=0,0,AL23-AL22))</f>
        <v>67</v>
      </c>
      <c r="AN23" s="5">
        <f>IF(AL23=1000000,0,IF(AN22=0,0,AN22+AL23))</f>
        <v>2769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0.12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 t="str">
        <f>'Verification of Boxes'!J20</f>
        <v>MILLER</v>
      </c>
      <c r="AA24" s="37">
        <f t="shared" si="24"/>
        <v>0</v>
      </c>
      <c r="AB24" s="5"/>
      <c r="AC24" s="5">
        <f t="shared" si="21"/>
        <v>0</v>
      </c>
      <c r="AD24" s="5"/>
      <c r="AE24" s="5" t="str">
        <f t="shared" si="25"/>
        <v>excluded</v>
      </c>
      <c r="AF24" s="5">
        <f t="shared" si="22"/>
        <v>0</v>
      </c>
      <c r="AG24" s="35">
        <f t="shared" si="23"/>
        <v>0</v>
      </c>
      <c r="AJ24" s="327" t="s">
        <v>191</v>
      </c>
      <c r="AK24" s="275"/>
      <c r="AL24" s="37">
        <f>IF(AR46=1000000,0,AU44)</f>
        <v>764</v>
      </c>
      <c r="AM24" s="5">
        <f>IF(AL24=1000000,0,IF(AM23=0,0,AL24-AL23))</f>
        <v>30</v>
      </c>
      <c r="AN24" s="5">
        <f>IF(AL24=1000000,0,IF(AN23=0,0,AN23+AL24))</f>
        <v>3533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173.4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 t="str">
        <f>'Verification of Boxes'!J21</f>
        <v>TRAYNOR</v>
      </c>
      <c r="AA25" s="37">
        <f t="shared" si="24"/>
        <v>528</v>
      </c>
      <c r="AB25" s="5"/>
      <c r="AC25" s="5">
        <f t="shared" si="21"/>
        <v>-746</v>
      </c>
      <c r="AD25" s="5"/>
      <c r="AE25" s="5" t="str">
        <f t="shared" si="25"/>
        <v>continuing</v>
      </c>
      <c r="AF25" s="5">
        <f t="shared" si="22"/>
        <v>0</v>
      </c>
      <c r="AG25" s="35">
        <f t="shared" si="23"/>
        <v>0</v>
      </c>
      <c r="AJ25" s="325" t="s">
        <v>191</v>
      </c>
      <c r="AK25" s="326"/>
      <c r="AL25" s="89">
        <f>IF(AL24=1000000,0,AW44)</f>
        <v>998</v>
      </c>
      <c r="AM25" s="90">
        <f>IF(AL25=1000000,0,IF(AM24=0,0,AL25-AL24))</f>
        <v>234</v>
      </c>
      <c r="AN25" s="90">
        <f>IF(AL25=1000000,0,IF(AN24=0,0,AN24+AL25))</f>
        <v>4531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4.5999999999999943</v>
      </c>
      <c r="BE25" s="61" t="s">
        <v>199</v>
      </c>
      <c r="BF25" s="5">
        <f>SUM(BF5:BF24)</f>
        <v>1445</v>
      </c>
      <c r="BG25" s="100">
        <f>SUM(BG5:BG24)</f>
        <v>173.39999999999998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>
        <v>7</v>
      </c>
      <c r="BG26" s="100">
        <f>IF(AT5="T",BC25+BC31,0)</f>
        <v>4.5999999999999943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0</v>
      </c>
      <c r="AV27" s="5">
        <f>AU27</f>
        <v>0</v>
      </c>
      <c r="AW27" s="5">
        <f t="shared" ref="AW27:AW32" si="27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1452</v>
      </c>
      <c r="BG27" s="101">
        <f>SUM(BG25:BG26)</f>
        <v>177.99999999999997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6"/>
        <v>0</v>
      </c>
      <c r="AV28" s="5">
        <f>AV27+AU28</f>
        <v>0</v>
      </c>
      <c r="AW28" s="5">
        <f t="shared" si="27"/>
        <v>0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6"/>
        <v>0</v>
      </c>
      <c r="AV29" s="5">
        <f>AV28+AU29</f>
        <v>0</v>
      </c>
      <c r="AW29" s="5">
        <f t="shared" si="27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1452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0</v>
      </c>
      <c r="AW30" s="5">
        <f t="shared" si="27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232</v>
      </c>
      <c r="BJ30" s="353"/>
      <c r="BK30" s="354"/>
      <c r="BX30" s="358" t="str">
        <f>IF(BW31=BW67,"Calculations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3">
        <f>$BK67</f>
        <v>4.5999999999999943</v>
      </c>
      <c r="I31" s="40">
        <f t="shared" si="13"/>
        <v>12.599999999999994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6"/>
        <v>0</v>
      </c>
      <c r="AV31" s="5">
        <f>AV30+AU31</f>
        <v>0</v>
      </c>
      <c r="AW31" s="5">
        <f t="shared" si="27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BW67-BW31</f>
        <v>0</v>
      </c>
      <c r="CB31" s="352" t="s">
        <v>232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0"/>
      <c r="I32" s="49">
        <f>SUM(I11:I31)</f>
        <v>10185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6"/>
        <v>0</v>
      </c>
      <c r="AV32" s="5">
        <f>AV31+AU32</f>
        <v>0</v>
      </c>
      <c r="AW32" s="5">
        <f t="shared" si="27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3">
        <v>0.62847222222222221</v>
      </c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178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TRAYNOR</v>
      </c>
      <c r="AA44" s="250">
        <v>528</v>
      </c>
      <c r="AB44" s="250">
        <v>528</v>
      </c>
      <c r="AC44" s="250">
        <f>AC43+AA44</f>
        <v>706</v>
      </c>
      <c r="AD44" s="250"/>
      <c r="AE44" s="252">
        <f>IF(AC44&gt;$AG$4,0,IF(AC44&lt;AA45,"Exclude this candidate",0))</f>
        <v>0</v>
      </c>
      <c r="AF44" s="250"/>
      <c r="AG44" s="250"/>
      <c r="AS44" s="2"/>
      <c r="AU44" s="2">
        <f>AU45+AR46</f>
        <v>764</v>
      </c>
      <c r="AW44" s="2">
        <f>AW45+AU44</f>
        <v>998</v>
      </c>
      <c r="AX44" s="2"/>
      <c r="BG44" t="s">
        <v>218</v>
      </c>
    </row>
    <row r="45" spans="4:75" ht="15.5" x14ac:dyDescent="0.35">
      <c r="Z45" s="253" t="str">
        <v>LEE</v>
      </c>
      <c r="AA45" s="250">
        <v>662</v>
      </c>
      <c r="AB45" s="250">
        <v>662</v>
      </c>
      <c r="AC45" s="250">
        <f>AC44+AA45</f>
        <v>1368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  <c r="AS45" s="2"/>
      <c r="AU45" s="2">
        <f>MIN(AU46:AU65)</f>
        <v>30</v>
      </c>
      <c r="AW45" s="2">
        <f>MIN(AW46:AW65)</f>
        <v>234</v>
      </c>
      <c r="AX45" s="2"/>
    </row>
    <row r="46" spans="4:75" ht="37.5" x14ac:dyDescent="0.25">
      <c r="Z46" s="253" t="str">
        <v>HAMLEY</v>
      </c>
      <c r="AA46" s="250">
        <v>667</v>
      </c>
      <c r="AB46" s="250">
        <v>667</v>
      </c>
      <c r="AC46" s="250">
        <f t="shared" ref="AC46:AC63" si="31">AC45+AA46</f>
        <v>2035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528</v>
      </c>
      <c r="AN46" s="2">
        <f>AN47+AL46</f>
        <v>662</v>
      </c>
      <c r="AP46" s="2">
        <f>AP47+AN46</f>
        <v>667</v>
      </c>
      <c r="AR46" s="2">
        <f>AR47+AP46</f>
        <v>734</v>
      </c>
      <c r="AT46" s="2">
        <f t="shared" ref="AT46:AT65" si="32">AR48-AR$47</f>
        <v>264</v>
      </c>
      <c r="AU46">
        <f t="shared" ref="AU46:AU65" si="33">IF(AT46&lt;&gt;0,AT46,1000000)</f>
        <v>264</v>
      </c>
      <c r="AV46" s="2">
        <f t="shared" ref="AV46:AV65" si="34">AU46-AU$45</f>
        <v>234</v>
      </c>
      <c r="AW46">
        <f t="shared" ref="AW46:AW65" si="35">IF(AV46&lt;&gt;0,AV46,1000000)</f>
        <v>234</v>
      </c>
      <c r="BE46" s="91" t="s">
        <v>219</v>
      </c>
      <c r="BI46" s="4" t="s">
        <v>220</v>
      </c>
      <c r="BJ46" s="4" t="s">
        <v>221</v>
      </c>
      <c r="BK46" s="4" t="s">
        <v>222</v>
      </c>
      <c r="BL46" s="91"/>
      <c r="BM46" s="91"/>
      <c r="BN46" s="91" t="s">
        <v>223</v>
      </c>
      <c r="BO46" s="91"/>
      <c r="BP46" s="91"/>
      <c r="BW46" t="s">
        <v>224</v>
      </c>
    </row>
    <row r="47" spans="4:75" x14ac:dyDescent="0.25">
      <c r="Z47" s="253" t="str">
        <v>MCKEEVER</v>
      </c>
      <c r="AA47" s="250">
        <v>734</v>
      </c>
      <c r="AB47" s="250">
        <v>734</v>
      </c>
      <c r="AC47" s="250">
        <f t="shared" si="31"/>
        <v>2769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528</v>
      </c>
      <c r="AN47" s="2">
        <f>MIN(AN48:AN67)</f>
        <v>134</v>
      </c>
      <c r="AP47" s="2">
        <f>MIN(AP48:AP67)</f>
        <v>5</v>
      </c>
      <c r="AR47" s="2">
        <f>MIN(AR48:AR67)</f>
        <v>67</v>
      </c>
      <c r="AT47" s="2">
        <f t="shared" si="32"/>
        <v>473</v>
      </c>
      <c r="AU47">
        <f t="shared" si="33"/>
        <v>473</v>
      </c>
      <c r="AV47" s="2">
        <f t="shared" si="34"/>
        <v>443</v>
      </c>
      <c r="AW47">
        <f t="shared" si="35"/>
        <v>443</v>
      </c>
      <c r="BE47" s="5" t="str">
        <f>IF($BH5="y",$BE5,IF($BH6="y",$BE6,IF($BH7="y",$BE7,IF($BH8="y",$BE8,IF($BH9="y",$BE9,IF($BH10="y",$BE10,0))))))</f>
        <v>GUY</v>
      </c>
      <c r="BG47" s="125" t="str">
        <f t="shared" ref="BG47:BG66" si="36">BE5</f>
        <v>BASSETT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2.88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HENDERSON</v>
      </c>
      <c r="AA48" s="250">
        <v>764</v>
      </c>
      <c r="AB48" s="250">
        <v>764</v>
      </c>
      <c r="AC48" s="250">
        <f t="shared" si="31"/>
        <v>3533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BASSETT</v>
      </c>
      <c r="AK48" s="2">
        <f t="shared" ref="AK48:AK67" si="43">AA14</f>
        <v>998</v>
      </c>
      <c r="AL48">
        <f>IF(AK48&lt;&gt;0,AK48,1000000)</f>
        <v>998</v>
      </c>
      <c r="AM48" s="2">
        <f t="shared" ref="AM48:AM67" si="44">AL48-AL$47</f>
        <v>470</v>
      </c>
      <c r="AN48">
        <f>IF(AM48&lt;&gt;0,AM48,1000000)</f>
        <v>470</v>
      </c>
      <c r="AO48" s="2">
        <f t="shared" ref="AO48:AO67" si="45">AN48-AN$47</f>
        <v>336</v>
      </c>
      <c r="AP48">
        <f t="shared" ref="AP48:AP67" si="46">IF(AO48&lt;&gt;0,AO48,1000000)</f>
        <v>336</v>
      </c>
      <c r="AQ48" s="2">
        <f t="shared" ref="AQ48:AQ67" si="47">AP48-AP$47</f>
        <v>331</v>
      </c>
      <c r="AR48">
        <f t="shared" ref="AR48:AR67" si="48">IF(AQ48&lt;&gt;0,AQ48,1000000)</f>
        <v>331</v>
      </c>
      <c r="AT48" s="2">
        <f t="shared" si="32"/>
        <v>387</v>
      </c>
      <c r="AU48">
        <f t="shared" si="33"/>
        <v>387</v>
      </c>
      <c r="AV48" s="2">
        <f t="shared" si="34"/>
        <v>357</v>
      </c>
      <c r="AW48">
        <f t="shared" si="35"/>
        <v>357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CARLIN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6.24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BASSETT</v>
      </c>
      <c r="AA49" s="250">
        <v>998</v>
      </c>
      <c r="AB49" s="250">
        <v>998</v>
      </c>
      <c r="AC49" s="250">
        <f t="shared" si="31"/>
        <v>4531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CARLIN</v>
      </c>
      <c r="AK49" s="2">
        <f t="shared" si="43"/>
        <v>1207</v>
      </c>
      <c r="AL49">
        <f t="shared" ref="AL49:AL67" si="49">IF(AK49&lt;&gt;0,AK49,1000000)</f>
        <v>1207</v>
      </c>
      <c r="AM49" s="2">
        <f t="shared" si="44"/>
        <v>679</v>
      </c>
      <c r="AN49">
        <f t="shared" ref="AN49:AN67" si="50">IF(AM49&lt;&gt;0,AM49,1000000)</f>
        <v>679</v>
      </c>
      <c r="AO49" s="2">
        <f t="shared" si="45"/>
        <v>545</v>
      </c>
      <c r="AP49">
        <f t="shared" si="46"/>
        <v>545</v>
      </c>
      <c r="AQ49" s="2">
        <f t="shared" si="47"/>
        <v>540</v>
      </c>
      <c r="AR49">
        <f t="shared" si="48"/>
        <v>540</v>
      </c>
      <c r="AT49" s="2">
        <f t="shared" si="32"/>
        <v>301</v>
      </c>
      <c r="AU49">
        <f t="shared" si="33"/>
        <v>301</v>
      </c>
      <c r="AV49" s="2">
        <f t="shared" si="34"/>
        <v>271</v>
      </c>
      <c r="AW49">
        <f t="shared" si="35"/>
        <v>271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EATON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62.16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HIGGINSON</v>
      </c>
      <c r="AA50" s="250">
        <v>1009</v>
      </c>
      <c r="AB50" s="250">
        <v>1009</v>
      </c>
      <c r="AC50" s="250">
        <f t="shared" si="31"/>
        <v>5540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EATON</v>
      </c>
      <c r="AK50" s="2">
        <f t="shared" si="43"/>
        <v>1121</v>
      </c>
      <c r="AL50">
        <f t="shared" si="49"/>
        <v>1121</v>
      </c>
      <c r="AM50" s="2">
        <f t="shared" si="44"/>
        <v>593</v>
      </c>
      <c r="AN50">
        <f t="shared" si="50"/>
        <v>593</v>
      </c>
      <c r="AO50" s="2">
        <f t="shared" si="45"/>
        <v>459</v>
      </c>
      <c r="AP50">
        <f t="shared" si="46"/>
        <v>459</v>
      </c>
      <c r="AQ50" s="2">
        <f t="shared" si="47"/>
        <v>454</v>
      </c>
      <c r="AR50">
        <f t="shared" si="48"/>
        <v>454</v>
      </c>
      <c r="AT50" s="2">
        <f t="shared" si="32"/>
        <v>718</v>
      </c>
      <c r="AU50">
        <f t="shared" si="33"/>
        <v>718</v>
      </c>
      <c r="AV50" s="2">
        <f t="shared" si="34"/>
        <v>688</v>
      </c>
      <c r="AW50">
        <f t="shared" si="35"/>
        <v>688</v>
      </c>
      <c r="BE50" s="5">
        <f>IF($BH23="y",$BE23,IF($BH24="y",$BE24,0))</f>
        <v>0</v>
      </c>
      <c r="BG50" s="127" t="str">
        <f t="shared" si="36"/>
        <v>GALLEN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7.08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GALLEN</v>
      </c>
      <c r="AA51" s="250">
        <v>1035</v>
      </c>
      <c r="AB51" s="250">
        <v>1035</v>
      </c>
      <c r="AC51" s="250">
        <f t="shared" si="31"/>
        <v>6575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GALLEN</v>
      </c>
      <c r="AK51" s="2">
        <f t="shared" si="43"/>
        <v>1035</v>
      </c>
      <c r="AL51">
        <f t="shared" si="49"/>
        <v>1035</v>
      </c>
      <c r="AM51" s="2">
        <f t="shared" si="44"/>
        <v>507</v>
      </c>
      <c r="AN51">
        <f t="shared" si="50"/>
        <v>507</v>
      </c>
      <c r="AO51" s="2">
        <f t="shared" si="45"/>
        <v>373</v>
      </c>
      <c r="AP51">
        <f t="shared" si="46"/>
        <v>373</v>
      </c>
      <c r="AQ51" s="2">
        <f t="shared" si="47"/>
        <v>368</v>
      </c>
      <c r="AR51">
        <f t="shared" si="48"/>
        <v>368</v>
      </c>
      <c r="AT51" s="2">
        <f t="shared" si="32"/>
        <v>999933</v>
      </c>
      <c r="AU51">
        <f t="shared" si="33"/>
        <v>999933</v>
      </c>
      <c r="AV51" s="2">
        <f t="shared" si="34"/>
        <v>999903</v>
      </c>
      <c r="AW51">
        <f t="shared" si="35"/>
        <v>999903</v>
      </c>
      <c r="BG51" s="127" t="str">
        <f t="shared" si="36"/>
        <v>GUY</v>
      </c>
      <c r="BH51" s="128"/>
      <c r="BI51" s="5">
        <f t="shared" si="37"/>
        <v>-178</v>
      </c>
      <c r="BJ51" s="5">
        <f t="shared" si="38"/>
        <v>0</v>
      </c>
      <c r="BK51" s="5">
        <f t="shared" si="39"/>
        <v>-178</v>
      </c>
      <c r="BN51" s="5">
        <f t="shared" si="40"/>
        <v>0</v>
      </c>
      <c r="BW51" s="5">
        <f t="shared" si="41"/>
        <v>0</v>
      </c>
    </row>
    <row r="52" spans="26:75" x14ac:dyDescent="0.25">
      <c r="Z52" s="253" t="str">
        <v>EATON</v>
      </c>
      <c r="AA52" s="250">
        <v>1121</v>
      </c>
      <c r="AB52" s="250">
        <v>1121</v>
      </c>
      <c r="AC52" s="250">
        <f t="shared" si="31"/>
        <v>7696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GUY</v>
      </c>
      <c r="AK52" s="2">
        <f t="shared" si="43"/>
        <v>1452</v>
      </c>
      <c r="AL52">
        <f t="shared" si="49"/>
        <v>1452</v>
      </c>
      <c r="AM52" s="2">
        <f t="shared" si="44"/>
        <v>924</v>
      </c>
      <c r="AN52">
        <f t="shared" si="50"/>
        <v>924</v>
      </c>
      <c r="AO52" s="2">
        <f t="shared" si="45"/>
        <v>790</v>
      </c>
      <c r="AP52">
        <f t="shared" si="46"/>
        <v>790</v>
      </c>
      <c r="AQ52" s="2">
        <f t="shared" si="47"/>
        <v>785</v>
      </c>
      <c r="AR52">
        <f t="shared" si="48"/>
        <v>785</v>
      </c>
      <c r="AT52" s="2">
        <f t="shared" si="32"/>
        <v>30</v>
      </c>
      <c r="AU52">
        <f t="shared" si="33"/>
        <v>30</v>
      </c>
      <c r="AV52" s="2">
        <f t="shared" si="34"/>
        <v>0</v>
      </c>
      <c r="AW52">
        <f t="shared" si="35"/>
        <v>1000000</v>
      </c>
      <c r="BG52" s="127" t="str">
        <f t="shared" si="36"/>
        <v>HAMLEY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8.16</v>
      </c>
      <c r="BN52" s="5">
        <f t="shared" si="40"/>
        <v>0</v>
      </c>
      <c r="BW52" s="5">
        <f t="shared" si="41"/>
        <v>0</v>
      </c>
    </row>
    <row r="53" spans="26:75" x14ac:dyDescent="0.25">
      <c r="Z53" s="253" t="str">
        <v>CARLIN</v>
      </c>
      <c r="AA53" s="250">
        <v>1207</v>
      </c>
      <c r="AB53" s="250">
        <v>1207</v>
      </c>
      <c r="AC53" s="250">
        <f t="shared" si="31"/>
        <v>8903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HAMLEY</v>
      </c>
      <c r="AK53" s="2">
        <f t="shared" si="43"/>
        <v>667</v>
      </c>
      <c r="AL53">
        <f t="shared" si="49"/>
        <v>667</v>
      </c>
      <c r="AM53" s="2">
        <f t="shared" si="44"/>
        <v>139</v>
      </c>
      <c r="AN53">
        <f t="shared" si="50"/>
        <v>139</v>
      </c>
      <c r="AO53" s="2">
        <f t="shared" si="45"/>
        <v>5</v>
      </c>
      <c r="AP53">
        <f t="shared" si="46"/>
        <v>5</v>
      </c>
      <c r="AQ53" s="2">
        <f t="shared" si="47"/>
        <v>0</v>
      </c>
      <c r="AR53">
        <f t="shared" si="48"/>
        <v>1000000</v>
      </c>
      <c r="AT53" s="2">
        <f t="shared" si="32"/>
        <v>275</v>
      </c>
      <c r="AU53">
        <f t="shared" si="33"/>
        <v>275</v>
      </c>
      <c r="AV53" s="2">
        <f t="shared" si="34"/>
        <v>245</v>
      </c>
      <c r="AW53">
        <f t="shared" si="35"/>
        <v>245</v>
      </c>
      <c r="BG53" s="127" t="str">
        <f t="shared" si="36"/>
        <v>HENDERSON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4.92</v>
      </c>
      <c r="BN53" s="5">
        <f t="shared" si="40"/>
        <v>0</v>
      </c>
      <c r="BW53" s="5">
        <f t="shared" si="41"/>
        <v>0</v>
      </c>
    </row>
    <row r="54" spans="26:75" x14ac:dyDescent="0.25">
      <c r="Z54" s="253" t="str">
        <v>GUY</v>
      </c>
      <c r="AA54" s="250">
        <v>1452</v>
      </c>
      <c r="AB54" s="250">
        <v>1452</v>
      </c>
      <c r="AC54" s="250">
        <f t="shared" si="31"/>
        <v>10355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HENDERSON</v>
      </c>
      <c r="AK54" s="2">
        <f t="shared" si="43"/>
        <v>764</v>
      </c>
      <c r="AL54">
        <f t="shared" si="49"/>
        <v>764</v>
      </c>
      <c r="AM54" s="2">
        <f t="shared" si="44"/>
        <v>236</v>
      </c>
      <c r="AN54">
        <f t="shared" si="50"/>
        <v>236</v>
      </c>
      <c r="AO54" s="2">
        <f t="shared" si="45"/>
        <v>102</v>
      </c>
      <c r="AP54">
        <f t="shared" si="46"/>
        <v>102</v>
      </c>
      <c r="AQ54" s="2">
        <f t="shared" si="47"/>
        <v>97</v>
      </c>
      <c r="AR54">
        <f t="shared" si="48"/>
        <v>97</v>
      </c>
      <c r="AT54" s="2">
        <f t="shared" si="32"/>
        <v>999928</v>
      </c>
      <c r="AU54">
        <f t="shared" si="33"/>
        <v>999928</v>
      </c>
      <c r="AV54" s="2">
        <f t="shared" si="34"/>
        <v>999898</v>
      </c>
      <c r="AW54">
        <f t="shared" si="35"/>
        <v>999898</v>
      </c>
      <c r="BG54" s="127" t="str">
        <f t="shared" si="36"/>
        <v>HIGGINSON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0.6</v>
      </c>
      <c r="BN54" s="5">
        <f t="shared" si="40"/>
        <v>0</v>
      </c>
      <c r="BW54" s="5">
        <f t="shared" si="41"/>
        <v>0</v>
      </c>
    </row>
    <row r="55" spans="26:75" x14ac:dyDescent="0.25">
      <c r="Z55" s="253" t="str">
        <v>MILLER</v>
      </c>
      <c r="AA55" s="250">
        <v>0</v>
      </c>
      <c r="AB55" s="250">
        <v>1000000</v>
      </c>
      <c r="AC55" s="250">
        <f t="shared" si="31"/>
        <v>10355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HIGGINSON</v>
      </c>
      <c r="AK55" s="2">
        <f t="shared" si="43"/>
        <v>1009</v>
      </c>
      <c r="AL55">
        <f t="shared" si="49"/>
        <v>1009</v>
      </c>
      <c r="AM55" s="2">
        <f t="shared" si="44"/>
        <v>481</v>
      </c>
      <c r="AN55">
        <f t="shared" si="50"/>
        <v>481</v>
      </c>
      <c r="AO55" s="2">
        <f t="shared" si="45"/>
        <v>347</v>
      </c>
      <c r="AP55">
        <f t="shared" si="46"/>
        <v>347</v>
      </c>
      <c r="AQ55" s="2">
        <f t="shared" si="47"/>
        <v>342</v>
      </c>
      <c r="AR55">
        <f t="shared" si="48"/>
        <v>342</v>
      </c>
      <c r="AT55" s="2">
        <f t="shared" si="32"/>
        <v>0</v>
      </c>
      <c r="AU55">
        <f t="shared" si="33"/>
        <v>1000000</v>
      </c>
      <c r="AV55" s="2">
        <f t="shared" si="34"/>
        <v>999970</v>
      </c>
      <c r="AW55">
        <f t="shared" si="35"/>
        <v>999970</v>
      </c>
      <c r="BG55" s="127" t="str">
        <f t="shared" si="36"/>
        <v>LEE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21.36</v>
      </c>
      <c r="BN55" s="5">
        <f t="shared" si="40"/>
        <v>0</v>
      </c>
      <c r="BW55" s="5">
        <f t="shared" si="41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10355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42"/>
        <v>LEE</v>
      </c>
      <c r="AK56" s="2">
        <f t="shared" si="43"/>
        <v>662</v>
      </c>
      <c r="AL56">
        <f t="shared" si="49"/>
        <v>662</v>
      </c>
      <c r="AM56" s="2">
        <f t="shared" si="44"/>
        <v>134</v>
      </c>
      <c r="AN56">
        <f t="shared" si="50"/>
        <v>134</v>
      </c>
      <c r="AO56" s="2">
        <f t="shared" si="45"/>
        <v>0</v>
      </c>
      <c r="AP56">
        <f t="shared" si="46"/>
        <v>1000000</v>
      </c>
      <c r="AQ56" s="2">
        <f t="shared" si="47"/>
        <v>999995</v>
      </c>
      <c r="AR56">
        <f t="shared" si="48"/>
        <v>999995</v>
      </c>
      <c r="AT56" s="2">
        <f t="shared" si="32"/>
        <v>999266</v>
      </c>
      <c r="AU56">
        <f t="shared" si="33"/>
        <v>999266</v>
      </c>
      <c r="AV56" s="2">
        <f t="shared" si="34"/>
        <v>999236</v>
      </c>
      <c r="AW56">
        <f t="shared" si="35"/>
        <v>999236</v>
      </c>
      <c r="BG56" s="127" t="str">
        <f t="shared" si="36"/>
        <v>MCKEEVER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59.879999999999995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10355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42"/>
        <v>MCKEEVER</v>
      </c>
      <c r="AK57" s="2">
        <f t="shared" si="43"/>
        <v>734</v>
      </c>
      <c r="AL57">
        <f t="shared" si="49"/>
        <v>734</v>
      </c>
      <c r="AM57" s="2">
        <f t="shared" si="44"/>
        <v>206</v>
      </c>
      <c r="AN57">
        <f t="shared" si="50"/>
        <v>206</v>
      </c>
      <c r="AO57" s="2">
        <f t="shared" si="45"/>
        <v>72</v>
      </c>
      <c r="AP57">
        <f t="shared" si="46"/>
        <v>72</v>
      </c>
      <c r="AQ57" s="2">
        <f t="shared" si="47"/>
        <v>67</v>
      </c>
      <c r="AR57">
        <f t="shared" si="48"/>
        <v>67</v>
      </c>
      <c r="AT57" s="2">
        <f t="shared" si="32"/>
        <v>999794</v>
      </c>
      <c r="AU57">
        <f t="shared" si="33"/>
        <v>999794</v>
      </c>
      <c r="AV57" s="2">
        <f t="shared" si="34"/>
        <v>999764</v>
      </c>
      <c r="AW57">
        <f t="shared" si="35"/>
        <v>999764</v>
      </c>
      <c r="BG57" s="127" t="str">
        <f t="shared" si="36"/>
        <v>MILLER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10355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42"/>
        <v>MILLER</v>
      </c>
      <c r="AK58" s="2">
        <f t="shared" si="43"/>
        <v>0</v>
      </c>
      <c r="AL58">
        <f t="shared" si="49"/>
        <v>1000000</v>
      </c>
      <c r="AM58" s="2">
        <f t="shared" si="44"/>
        <v>999472</v>
      </c>
      <c r="AN58">
        <f t="shared" si="50"/>
        <v>999472</v>
      </c>
      <c r="AO58" s="2">
        <f t="shared" si="45"/>
        <v>999338</v>
      </c>
      <c r="AP58">
        <f t="shared" si="46"/>
        <v>999338</v>
      </c>
      <c r="AQ58" s="2">
        <f t="shared" si="47"/>
        <v>999333</v>
      </c>
      <c r="AR58">
        <f t="shared" si="48"/>
        <v>999333</v>
      </c>
      <c r="AT58" s="2">
        <f t="shared" si="32"/>
        <v>999266</v>
      </c>
      <c r="AU58">
        <f t="shared" si="33"/>
        <v>999266</v>
      </c>
      <c r="AV58" s="2">
        <f t="shared" si="34"/>
        <v>999236</v>
      </c>
      <c r="AW58">
        <f t="shared" si="35"/>
        <v>999236</v>
      </c>
      <c r="BG58" s="127" t="str">
        <f t="shared" si="36"/>
        <v>TRAYNOR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0.12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10355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42"/>
        <v>TRAYNOR</v>
      </c>
      <c r="AK59" s="2">
        <f t="shared" si="43"/>
        <v>528</v>
      </c>
      <c r="AL59">
        <f t="shared" si="49"/>
        <v>528</v>
      </c>
      <c r="AM59" s="2">
        <f t="shared" si="44"/>
        <v>0</v>
      </c>
      <c r="AN59">
        <f t="shared" si="50"/>
        <v>1000000</v>
      </c>
      <c r="AO59" s="2">
        <f t="shared" si="45"/>
        <v>999866</v>
      </c>
      <c r="AP59">
        <f t="shared" si="46"/>
        <v>999866</v>
      </c>
      <c r="AQ59" s="2">
        <f t="shared" si="47"/>
        <v>999861</v>
      </c>
      <c r="AR59">
        <f t="shared" si="48"/>
        <v>999861</v>
      </c>
      <c r="AT59" s="2">
        <f t="shared" si="32"/>
        <v>999266</v>
      </c>
      <c r="AU59">
        <f t="shared" si="33"/>
        <v>999266</v>
      </c>
      <c r="AV59" s="2">
        <f t="shared" si="34"/>
        <v>999236</v>
      </c>
      <c r="AW59">
        <f t="shared" si="35"/>
        <v>999236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10355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999472</v>
      </c>
      <c r="AN60">
        <f t="shared" si="50"/>
        <v>999472</v>
      </c>
      <c r="AO60" s="2">
        <f t="shared" si="45"/>
        <v>999338</v>
      </c>
      <c r="AP60">
        <f t="shared" si="46"/>
        <v>999338</v>
      </c>
      <c r="AQ60" s="2">
        <f t="shared" si="47"/>
        <v>999333</v>
      </c>
      <c r="AR60">
        <f t="shared" si="48"/>
        <v>999333</v>
      </c>
      <c r="AT60" s="2">
        <f t="shared" si="32"/>
        <v>999266</v>
      </c>
      <c r="AU60">
        <f t="shared" si="33"/>
        <v>999266</v>
      </c>
      <c r="AV60" s="2">
        <f t="shared" si="34"/>
        <v>999236</v>
      </c>
      <c r="AW60">
        <f t="shared" si="35"/>
        <v>999236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10355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999472</v>
      </c>
      <c r="AN61">
        <f t="shared" si="50"/>
        <v>999472</v>
      </c>
      <c r="AO61" s="2">
        <f t="shared" si="45"/>
        <v>999338</v>
      </c>
      <c r="AP61">
        <f t="shared" si="46"/>
        <v>999338</v>
      </c>
      <c r="AQ61" s="2">
        <f t="shared" si="47"/>
        <v>999333</v>
      </c>
      <c r="AR61">
        <f t="shared" si="48"/>
        <v>999333</v>
      </c>
      <c r="AT61" s="2">
        <f t="shared" si="32"/>
        <v>999266</v>
      </c>
      <c r="AU61">
        <f t="shared" si="33"/>
        <v>999266</v>
      </c>
      <c r="AV61" s="2">
        <f t="shared" si="34"/>
        <v>999236</v>
      </c>
      <c r="AW61">
        <f t="shared" si="35"/>
        <v>999236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10355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999472</v>
      </c>
      <c r="AN62">
        <f t="shared" si="50"/>
        <v>999472</v>
      </c>
      <c r="AO62" s="2">
        <f t="shared" si="45"/>
        <v>999338</v>
      </c>
      <c r="AP62">
        <f t="shared" si="46"/>
        <v>999338</v>
      </c>
      <c r="AQ62" s="2">
        <f t="shared" si="47"/>
        <v>999333</v>
      </c>
      <c r="AR62">
        <f t="shared" si="48"/>
        <v>999333</v>
      </c>
      <c r="AT62" s="2">
        <f t="shared" si="32"/>
        <v>999266</v>
      </c>
      <c r="AU62">
        <f t="shared" si="33"/>
        <v>999266</v>
      </c>
      <c r="AV62" s="2">
        <f t="shared" si="34"/>
        <v>999236</v>
      </c>
      <c r="AW62">
        <f t="shared" si="35"/>
        <v>999236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10355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999472</v>
      </c>
      <c r="AN63">
        <f t="shared" si="50"/>
        <v>999472</v>
      </c>
      <c r="AO63" s="2">
        <f t="shared" si="45"/>
        <v>999338</v>
      </c>
      <c r="AP63">
        <f t="shared" si="46"/>
        <v>999338</v>
      </c>
      <c r="AQ63" s="2">
        <f t="shared" si="47"/>
        <v>999333</v>
      </c>
      <c r="AR63">
        <f t="shared" si="48"/>
        <v>999333</v>
      </c>
      <c r="AT63" s="2">
        <f t="shared" si="32"/>
        <v>999266</v>
      </c>
      <c r="AU63">
        <f t="shared" si="33"/>
        <v>999266</v>
      </c>
      <c r="AV63" s="2">
        <f t="shared" si="34"/>
        <v>999236</v>
      </c>
      <c r="AW63">
        <f t="shared" si="35"/>
        <v>999236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999472</v>
      </c>
      <c r="AN64">
        <f t="shared" si="50"/>
        <v>999472</v>
      </c>
      <c r="AO64" s="2">
        <f t="shared" si="45"/>
        <v>999338</v>
      </c>
      <c r="AP64">
        <f t="shared" si="46"/>
        <v>999338</v>
      </c>
      <c r="AQ64" s="2">
        <f t="shared" si="47"/>
        <v>999333</v>
      </c>
      <c r="AR64">
        <f t="shared" si="48"/>
        <v>999333</v>
      </c>
      <c r="AT64" s="2">
        <f t="shared" si="32"/>
        <v>999266</v>
      </c>
      <c r="AU64">
        <f t="shared" si="33"/>
        <v>999266</v>
      </c>
      <c r="AV64" s="2">
        <f t="shared" si="34"/>
        <v>999236</v>
      </c>
      <c r="AW64">
        <f t="shared" si="35"/>
        <v>999236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999472</v>
      </c>
      <c r="AN65">
        <f t="shared" si="50"/>
        <v>999472</v>
      </c>
      <c r="AO65" s="2">
        <f t="shared" si="45"/>
        <v>999338</v>
      </c>
      <c r="AP65">
        <f t="shared" si="46"/>
        <v>999338</v>
      </c>
      <c r="AQ65" s="2">
        <f t="shared" si="47"/>
        <v>999333</v>
      </c>
      <c r="AR65">
        <f t="shared" si="48"/>
        <v>999333</v>
      </c>
      <c r="AT65" s="2">
        <f t="shared" si="32"/>
        <v>999266</v>
      </c>
      <c r="AU65">
        <f t="shared" si="33"/>
        <v>999266</v>
      </c>
      <c r="AV65" s="2">
        <f t="shared" si="34"/>
        <v>999236</v>
      </c>
      <c r="AW65">
        <f t="shared" si="35"/>
        <v>999236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999472</v>
      </c>
      <c r="AN66">
        <f t="shared" si="50"/>
        <v>999472</v>
      </c>
      <c r="AO66" s="2">
        <f t="shared" si="45"/>
        <v>999338</v>
      </c>
      <c r="AP66">
        <f t="shared" si="46"/>
        <v>999338</v>
      </c>
      <c r="AQ66" s="2">
        <f t="shared" si="47"/>
        <v>999333</v>
      </c>
      <c r="AR66">
        <f t="shared" si="48"/>
        <v>999333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999472</v>
      </c>
      <c r="AN67">
        <f t="shared" si="50"/>
        <v>999472</v>
      </c>
      <c r="AO67" s="2">
        <f t="shared" si="45"/>
        <v>999338</v>
      </c>
      <c r="AP67">
        <f t="shared" si="46"/>
        <v>999338</v>
      </c>
      <c r="AQ67" s="2">
        <f t="shared" si="47"/>
        <v>999333</v>
      </c>
      <c r="AR67">
        <f t="shared" si="48"/>
        <v>999333</v>
      </c>
      <c r="BG67" t="s">
        <v>225</v>
      </c>
      <c r="BI67" s="5">
        <f>BG26</f>
        <v>4.5999999999999943</v>
      </c>
      <c r="BJ67" s="5">
        <f>CE28</f>
        <v>0</v>
      </c>
      <c r="BK67" s="5">
        <f>BI67+BJ67</f>
        <v>4.5999999999999943</v>
      </c>
      <c r="BW67" s="5">
        <f>SUM(BW47:BW66)</f>
        <v>0</v>
      </c>
    </row>
    <row r="68" spans="36:75" x14ac:dyDescent="0.25">
      <c r="BK68" s="5">
        <f>BG27+CE29</f>
        <v>177.99999999999997</v>
      </c>
    </row>
    <row r="80" spans="36:75" x14ac:dyDescent="0.25">
      <c r="AS80" s="19"/>
      <c r="AT80" s="5">
        <f>SUM(AO82:AR82)</f>
        <v>0</v>
      </c>
    </row>
    <row r="81" spans="41:46" x14ac:dyDescent="0.25">
      <c r="AS81" s="19"/>
      <c r="AT81" s="5">
        <f t="shared" ref="AT81:AT86" si="51">SUM(AO83:AR83)</f>
        <v>0</v>
      </c>
    </row>
    <row r="82" spans="41:46" x14ac:dyDescent="0.25">
      <c r="AO82" s="5">
        <f t="shared" ref="AO82:AO88" si="52">IF(AO20&lt;&gt;0,1,0)</f>
        <v>0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0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0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233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H11</f>
        <v>2.88</v>
      </c>
      <c r="DF211" s="233">
        <f>I11</f>
        <v>1000.88</v>
      </c>
    </row>
    <row r="212" spans="105:110" ht="15.5" x14ac:dyDescent="0.35">
      <c r="DA212" s="232" t="str">
        <f t="shared" ref="DA212:DA230" si="54">IF(A12="Elected","E",IF(A12="Excluded","Excluded",""))&amp;IF(B12&gt;0,B12,"")</f>
        <v/>
      </c>
      <c r="DB212" s="232" t="str">
        <f t="shared" ref="DB212:DD227" si="55">C12</f>
        <v>CARLIN</v>
      </c>
      <c r="DC212" s="232" t="str">
        <f t="shared" si="55"/>
        <v>Sinn Féin</v>
      </c>
      <c r="DD212" s="233">
        <f t="shared" si="55"/>
        <v>1204</v>
      </c>
      <c r="DE212" s="233">
        <f t="shared" ref="DE212:DF212" si="56">H12</f>
        <v>6.24</v>
      </c>
      <c r="DF212" s="233">
        <f t="shared" si="56"/>
        <v>1213.24</v>
      </c>
    </row>
    <row r="213" spans="105:110" ht="15.5" x14ac:dyDescent="0.35">
      <c r="DA213" s="232" t="str">
        <f t="shared" si="54"/>
        <v/>
      </c>
      <c r="DB213" s="232" t="str">
        <f t="shared" si="55"/>
        <v>EATON</v>
      </c>
      <c r="DC213" s="232" t="str">
        <f t="shared" si="55"/>
        <v>Alliance Party</v>
      </c>
      <c r="DD213" s="233">
        <f t="shared" si="55"/>
        <v>1116</v>
      </c>
      <c r="DE213" s="233">
        <f t="shared" ref="DE213:DF213" si="57">H13</f>
        <v>62.16</v>
      </c>
      <c r="DF213" s="233">
        <f t="shared" si="57"/>
        <v>1183.1600000000001</v>
      </c>
    </row>
    <row r="214" spans="105:110" ht="15.5" x14ac:dyDescent="0.35">
      <c r="DA214" s="232" t="str">
        <f t="shared" si="54"/>
        <v/>
      </c>
      <c r="DB214" s="232" t="str">
        <f t="shared" si="55"/>
        <v>GALLEN</v>
      </c>
      <c r="DC214" s="232" t="str">
        <f t="shared" si="55"/>
        <v>SDLP</v>
      </c>
      <c r="DD214" s="233">
        <f t="shared" si="55"/>
        <v>1035</v>
      </c>
      <c r="DE214" s="233">
        <f t="shared" ref="DE214:DF214" si="58">H14</f>
        <v>7.08</v>
      </c>
      <c r="DF214" s="233">
        <f t="shared" si="58"/>
        <v>1042.08</v>
      </c>
    </row>
    <row r="215" spans="105:110" ht="15.5" x14ac:dyDescent="0.35">
      <c r="DA215" s="232" t="str">
        <f t="shared" si="54"/>
        <v>E</v>
      </c>
      <c r="DB215" s="232" t="str">
        <f t="shared" si="55"/>
        <v>GUY</v>
      </c>
      <c r="DC215" s="232" t="str">
        <f t="shared" si="55"/>
        <v>Alliance Party</v>
      </c>
      <c r="DD215" s="233">
        <f t="shared" si="55"/>
        <v>1452</v>
      </c>
      <c r="DE215" s="233">
        <f t="shared" ref="DE215:DF215" si="59">H15</f>
        <v>-178</v>
      </c>
      <c r="DF215" s="233">
        <f t="shared" si="59"/>
        <v>1274</v>
      </c>
    </row>
    <row r="216" spans="105:110" ht="15.5" x14ac:dyDescent="0.35">
      <c r="DA216" s="232" t="str">
        <f t="shared" si="54"/>
        <v/>
      </c>
      <c r="DB216" s="232" t="str">
        <f t="shared" si="55"/>
        <v>HAMLEY</v>
      </c>
      <c r="DC216" s="232" t="str">
        <f t="shared" si="55"/>
        <v>Green Party NI</v>
      </c>
      <c r="DD216" s="233">
        <f t="shared" si="55"/>
        <v>656</v>
      </c>
      <c r="DE216" s="233">
        <f t="shared" ref="DE216:DF216" si="60">H16</f>
        <v>8.16</v>
      </c>
      <c r="DF216" s="233">
        <f t="shared" si="60"/>
        <v>675.16</v>
      </c>
    </row>
    <row r="217" spans="105:110" ht="15.5" x14ac:dyDescent="0.35">
      <c r="DA217" s="232" t="str">
        <f t="shared" si="54"/>
        <v/>
      </c>
      <c r="DB217" s="232" t="str">
        <f t="shared" si="55"/>
        <v>HENDERSON</v>
      </c>
      <c r="DC217" s="232" t="str">
        <f t="shared" si="55"/>
        <v>UUP</v>
      </c>
      <c r="DD217" s="233">
        <f t="shared" si="55"/>
        <v>760</v>
      </c>
      <c r="DE217" s="233">
        <f t="shared" ref="DE217:DF217" si="61">H17</f>
        <v>4.92</v>
      </c>
      <c r="DF217" s="233">
        <f t="shared" si="61"/>
        <v>768.92</v>
      </c>
    </row>
    <row r="218" spans="105:110" ht="15.5" x14ac:dyDescent="0.35">
      <c r="DA218" s="232" t="str">
        <f t="shared" si="54"/>
        <v/>
      </c>
      <c r="DB218" s="232" t="str">
        <f t="shared" si="55"/>
        <v>HIGGINSON</v>
      </c>
      <c r="DC218" s="232" t="str">
        <f t="shared" si="55"/>
        <v>D.U.P.</v>
      </c>
      <c r="DD218" s="233">
        <f t="shared" si="55"/>
        <v>1006</v>
      </c>
      <c r="DE218" s="233">
        <f t="shared" ref="DE218:DF218" si="62">H18</f>
        <v>0.6</v>
      </c>
      <c r="DF218" s="233">
        <f t="shared" si="62"/>
        <v>1009.6</v>
      </c>
    </row>
    <row r="219" spans="105:110" ht="15.5" x14ac:dyDescent="0.35">
      <c r="DA219" s="232" t="str">
        <f t="shared" si="54"/>
        <v/>
      </c>
      <c r="DB219" s="232" t="str">
        <f t="shared" si="55"/>
        <v>LEE</v>
      </c>
      <c r="DC219" s="232" t="str">
        <f t="shared" si="55"/>
        <v xml:space="preserve">SDLP </v>
      </c>
      <c r="DD219" s="233">
        <f t="shared" si="55"/>
        <v>656</v>
      </c>
      <c r="DE219" s="233">
        <f t="shared" ref="DE219:DF219" si="63">H19</f>
        <v>21.36</v>
      </c>
      <c r="DF219" s="233">
        <f t="shared" si="63"/>
        <v>683.36</v>
      </c>
    </row>
    <row r="220" spans="105:110" ht="15.5" x14ac:dyDescent="0.35">
      <c r="DA220" s="232" t="str">
        <f t="shared" si="54"/>
        <v/>
      </c>
      <c r="DB220" s="232" t="str">
        <f t="shared" si="55"/>
        <v>MCKEEVER</v>
      </c>
      <c r="DC220" s="232" t="str">
        <f t="shared" si="55"/>
        <v>Alliance Party</v>
      </c>
      <c r="DD220" s="233">
        <f t="shared" si="55"/>
        <v>727</v>
      </c>
      <c r="DE220" s="233">
        <f t="shared" ref="DE220:DF220" si="64">H20</f>
        <v>59.879999999999995</v>
      </c>
      <c r="DF220" s="233">
        <f t="shared" si="64"/>
        <v>793.88</v>
      </c>
    </row>
    <row r="221" spans="105:110" ht="15.5" x14ac:dyDescent="0.35">
      <c r="DA221" s="232" t="str">
        <f t="shared" si="54"/>
        <v>Excluded</v>
      </c>
      <c r="DB221" s="232" t="str">
        <f t="shared" si="55"/>
        <v>MILLER</v>
      </c>
      <c r="DC221" s="232" t="str">
        <f t="shared" si="55"/>
        <v>Independent</v>
      </c>
      <c r="DD221" s="233">
        <f t="shared" si="55"/>
        <v>49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 t="str">
        <f t="shared" si="55"/>
        <v>TRAYNOR</v>
      </c>
      <c r="DC222" s="232" t="str">
        <f t="shared" si="55"/>
        <v>D.U.P.</v>
      </c>
      <c r="DD222" s="233">
        <f t="shared" si="55"/>
        <v>527</v>
      </c>
      <c r="DE222" s="233">
        <f t="shared" ref="DE222:DF222" si="66">H22</f>
        <v>0.12</v>
      </c>
      <c r="DF222" s="233">
        <f t="shared" si="66"/>
        <v>528.12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127</v>
      </c>
      <c r="DD231" s="234"/>
      <c r="DE231" s="233">
        <f>H31</f>
        <v>4.5999999999999943</v>
      </c>
      <c r="DF231" s="233">
        <f>I31</f>
        <v>12.599999999999994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>I32</f>
        <v>10185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F8:G8"/>
    <mergeCell ref="H8:I8"/>
    <mergeCell ref="F6:G6"/>
    <mergeCell ref="H6:I6"/>
    <mergeCell ref="F7:G7"/>
    <mergeCell ref="H7:I7"/>
    <mergeCell ref="E4:F4"/>
    <mergeCell ref="K1:L1"/>
    <mergeCell ref="H3:I3"/>
    <mergeCell ref="O4:S4"/>
    <mergeCell ref="O3:S3"/>
    <mergeCell ref="H4:I4"/>
    <mergeCell ref="E3:F3"/>
    <mergeCell ref="O2:S2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</mergeCells>
  <phoneticPr fontId="0" type="noConversion"/>
  <conditionalFormatting sqref="BF30:BG31">
    <cfRule type="cellIs" dxfId="140" priority="1" stopIfTrue="1" operator="equal">
      <formula>"NONE"</formula>
    </cfRule>
    <cfRule type="cellIs" dxfId="139" priority="2" stopIfTrue="1" operator="notEqual">
      <formula>"NONE"</formula>
    </cfRule>
  </conditionalFormatting>
  <conditionalFormatting sqref="BX30">
    <cfRule type="cellIs" dxfId="138" priority="3" stopIfTrue="1" operator="equal">
      <formula>"Calculations OK"</formula>
    </cfRule>
    <cfRule type="cellIs" dxfId="137" priority="4" stopIfTrue="1" operator="equal">
      <formula>"Check Count for Error"</formula>
    </cfRule>
  </conditionalFormatting>
  <conditionalFormatting sqref="V4:W4">
    <cfRule type="cellIs" dxfId="136" priority="5" stopIfTrue="1" operator="equal">
      <formula>"Totals Correct"</formula>
    </cfRule>
    <cfRule type="cellIs" dxfId="135" priority="6" stopIfTrue="1" operator="equal">
      <formula>"ERROR"</formula>
    </cfRule>
  </conditionalFormatting>
  <conditionalFormatting sqref="U4">
    <cfRule type="cellIs" dxfId="134" priority="7" stopIfTrue="1" operator="equal">
      <formula>"OK TO MOVE TO NEXT STAGE"</formula>
    </cfRule>
    <cfRule type="cellIs" dxfId="133" priority="8" stopIfTrue="1" operator="equal">
      <formula>"DO NOT MOVE TO NEXT STAGE"</formula>
    </cfRule>
  </conditionalFormatting>
  <conditionalFormatting sqref="AL3">
    <cfRule type="cellIs" dxfId="132" priority="9" stopIfTrue="1" operator="notEqual">
      <formula>0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topLeftCell="A17" zoomScale="75" workbookViewId="0">
      <selection activeCell="K34" sqref="K3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2.26953125" customWidth="1"/>
    <col min="25" max="25" width="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54296875" customWidth="1"/>
    <col min="43" max="43" width="11.26953125" customWidth="1"/>
    <col min="44" max="44" width="16.26953125" customWidth="1"/>
    <col min="45" max="45" width="211.7265625" customWidth="1"/>
    <col min="50" max="50" width="22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7.81640625" customWidth="1"/>
    <col min="67" max="67" width="10.453125" customWidth="1"/>
    <col min="68" max="68" width="7.81640625" customWidth="1"/>
    <col min="69" max="69" width="1.4531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109</v>
      </c>
      <c r="J1" s="85" t="s">
        <v>37</v>
      </c>
      <c r="K1" s="311">
        <f>'Basic Input'!C2</f>
        <v>45064</v>
      </c>
      <c r="L1" s="311"/>
      <c r="Z1" s="10" t="s">
        <v>234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235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36" t="s">
        <v>109</v>
      </c>
      <c r="CB2" s="337" t="s">
        <v>135</v>
      </c>
      <c r="CC2" s="338"/>
      <c r="CD2" s="338"/>
      <c r="CE2" s="339"/>
    </row>
    <row r="3" spans="1:105" ht="21.75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L3" s="114"/>
      <c r="BR3" s="81" t="s">
        <v>137</v>
      </c>
      <c r="BS3" s="82"/>
      <c r="BT3" s="340" t="s">
        <v>65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236</v>
      </c>
      <c r="P4" s="338"/>
      <c r="Q4" s="338"/>
      <c r="R4" s="338"/>
      <c r="S4" s="339"/>
      <c r="U4" s="324" t="str">
        <f>IF(K33="ERROR","DO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149</v>
      </c>
      <c r="AT5" s="7" t="str">
        <f>IF(AQ5=0,0,IF(AQ5="Y","T","E"))</f>
        <v>E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IF(C11=0,0,IF(I11=0,"Excluded",0))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237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109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IF(C12=0,0,IF(I12=0,"Excluded",0))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528.12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IF($AT5=0,0,IF($AT5="T",$AZ7,$BR4))</f>
        <v>Exclude</v>
      </c>
      <c r="K7" s="362"/>
      <c r="L7" s="303"/>
      <c r="M7" s="304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IF($J7="Transfer",$BA8,$BT3)</f>
        <v>TRAYNOR</v>
      </c>
      <c r="K8" s="360"/>
      <c r="L8" s="301"/>
      <c r="M8" s="302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1000.88</v>
      </c>
      <c r="BP8" s="66"/>
      <c r="BR8" s="9" t="str">
        <f>'Verification of Boxes'!J10</f>
        <v>BASSETT</v>
      </c>
      <c r="BS8" s="64">
        <v>0</v>
      </c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1213.24</v>
      </c>
      <c r="BP9" s="66"/>
      <c r="BR9" s="9" t="str">
        <f>'Verification of Boxes'!J11</f>
        <v>CARLIN</v>
      </c>
      <c r="BS9" s="64">
        <v>1</v>
      </c>
      <c r="BT9" s="5">
        <f t="shared" si="4"/>
        <v>1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1</v>
      </c>
    </row>
    <row r="10" spans="1:105" ht="15" customHeight="1" thickBot="1" x14ac:dyDescent="0.3">
      <c r="A10" s="15" t="s">
        <v>117</v>
      </c>
      <c r="B10" s="16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1183.1600000000001</v>
      </c>
      <c r="BP10" s="66"/>
      <c r="BR10" s="9" t="str">
        <f>'Verification of Boxes'!J12</f>
        <v>EATON</v>
      </c>
      <c r="BS10" s="64">
        <v>3</v>
      </c>
      <c r="BT10" s="5">
        <f t="shared" si="4"/>
        <v>3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3</v>
      </c>
    </row>
    <row r="11" spans="1:105" ht="15" customHeight="1" thickBot="1" x14ac:dyDescent="0.3">
      <c r="A11" s="29">
        <f>IF('Stage 3'!A11&lt;&gt;0,'Stage 3'!A11,IF(K11&gt;=$M$3,"Elected",IF(BP8&lt;&gt;0,"Excluded",0)))</f>
        <v>0</v>
      </c>
      <c r="B11" s="235">
        <f>'Stage 3'!B11</f>
        <v>0</v>
      </c>
      <c r="C11" s="152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 t="shared" ref="J11:J30" si="12">IF($C11&lt;&gt;0,$BK49,0)</f>
        <v>0</v>
      </c>
      <c r="K11" s="27">
        <f t="shared" ref="K11:K31" si="13">IF(J$8=0,0,I11+J11)</f>
        <v>1000.88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M11" s="3"/>
      <c r="BN11" s="5">
        <f t="shared" si="11"/>
        <v>0</v>
      </c>
      <c r="BO11" s="7">
        <f t="shared" si="3"/>
        <v>1042.08</v>
      </c>
      <c r="BP11" s="66"/>
      <c r="BR11" s="9" t="str">
        <f>'Verification of Boxes'!J13</f>
        <v>GALLEN</v>
      </c>
      <c r="BS11" s="64">
        <v>2</v>
      </c>
      <c r="BT11" s="5">
        <f t="shared" si="4"/>
        <v>2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2</v>
      </c>
    </row>
    <row r="12" spans="1:105" ht="15" customHeight="1" thickBot="1" x14ac:dyDescent="0.4">
      <c r="A12" s="20">
        <f>IF('Stage 3'!A12&lt;&gt;0,'Stage 3'!A12,IF(K12&gt;=$M$3,"Elected",IF(BP9&lt;&gt;0,"Excluded",0)))</f>
        <v>0</v>
      </c>
      <c r="B12" s="235">
        <f>'Stage 3'!B12</f>
        <v>0</v>
      </c>
      <c r="C12" s="153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 t="shared" si="12"/>
        <v>1</v>
      </c>
      <c r="K12" s="27">
        <f t="shared" si="13"/>
        <v>1214.24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3'!A13&lt;&gt;0,'Stage 3'!A13,IF(K13&gt;=$M$3,"Elected",IF(BP10&lt;&gt;0,"Excluded",0)))</f>
        <v>0</v>
      </c>
      <c r="B13" s="235">
        <f>'Stage 3'!B13</f>
        <v>0</v>
      </c>
      <c r="C13" s="153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 t="shared" si="12"/>
        <v>3</v>
      </c>
      <c r="K13" s="27">
        <f t="shared" si="13"/>
        <v>1186.1600000000001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119</v>
      </c>
      <c r="AA13" s="124" t="s">
        <v>173</v>
      </c>
      <c r="AB13" s="16"/>
      <c r="AC13" s="16" t="s">
        <v>174</v>
      </c>
      <c r="AD13" s="16"/>
      <c r="AE13" s="16" t="s">
        <v>175</v>
      </c>
      <c r="AF13" s="16" t="s">
        <v>176</v>
      </c>
      <c r="AG13" s="17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675.16</v>
      </c>
      <c r="BP13" s="66"/>
      <c r="BR13" s="9" t="str">
        <f>'Verification of Boxes'!J15</f>
        <v>HAMLEY</v>
      </c>
      <c r="BS13" s="182">
        <v>0</v>
      </c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3'!A14&lt;&gt;0,'Stage 3'!A14,IF(K14&gt;=$M$3,"Elected",IF(BP11&lt;&gt;0,"Excluded",0)))</f>
        <v>0</v>
      </c>
      <c r="B14" s="235">
        <f>'Stage 3'!B14</f>
        <v>0</v>
      </c>
      <c r="C14" s="153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 t="shared" si="12"/>
        <v>2</v>
      </c>
      <c r="K14" s="27">
        <f t="shared" si="13"/>
        <v>1044.08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BASSETT</v>
      </c>
      <c r="AA14" s="93">
        <f>I11</f>
        <v>1000.88</v>
      </c>
      <c r="AB14" s="88"/>
      <c r="AC14" s="88">
        <f t="shared" ref="AC14:AC33" si="20">IF(AA14&gt;0,AA14-AG$4,0)</f>
        <v>-273.12</v>
      </c>
      <c r="AD14" s="88"/>
      <c r="AE14" s="88" t="str">
        <f>IF(Z14=0,0,IF(AA14&gt;=AG$4,"elected",IF(AA14=0,"excluded","continuing")))</f>
        <v>continuing</v>
      </c>
      <c r="AF14" s="88">
        <f t="shared" ref="AF14:AF33" si="21">IF(AE14="elected",AC14,0)</f>
        <v>0</v>
      </c>
      <c r="AG14" s="94">
        <f t="shared" ref="AG14:AG33" si="22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768.92</v>
      </c>
      <c r="BP14" s="66"/>
      <c r="BR14" s="9" t="str">
        <f>'Verification of Boxes'!J16</f>
        <v>HENDERSON</v>
      </c>
      <c r="BS14" s="64">
        <v>18</v>
      </c>
      <c r="BT14" s="5">
        <f t="shared" si="4"/>
        <v>18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18</v>
      </c>
    </row>
    <row r="15" spans="1:105" ht="15" customHeight="1" thickBot="1" x14ac:dyDescent="0.3">
      <c r="A15" s="20" t="str">
        <f>IF('Stage 3'!A15&lt;&gt;0,'Stage 3'!A15,IF(K15&gt;=$M$3,"Elected",IF(BP12&lt;&gt;0,"Excluded",0)))</f>
        <v>Elected</v>
      </c>
      <c r="B15" s="235">
        <f>'Stage 3'!B15</f>
        <v>0</v>
      </c>
      <c r="C15" s="153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 t="shared" si="12"/>
        <v>0</v>
      </c>
      <c r="K15" s="27">
        <f t="shared" si="13"/>
        <v>1274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CARLIN</v>
      </c>
      <c r="AA15" s="37">
        <f>I12</f>
        <v>1213.24</v>
      </c>
      <c r="AB15" s="5"/>
      <c r="AC15" s="5">
        <f t="shared" si="20"/>
        <v>-60.759999999999991</v>
      </c>
      <c r="AD15" s="5"/>
      <c r="AE15" s="5" t="str">
        <f t="shared" ref="AE15:AE33" si="23">IF(Z15=0,0,IF(AA15&gt;=AG$4,"elected",IF(AA15=0,"excluded","continuing")))</f>
        <v>continuing</v>
      </c>
      <c r="AF15" s="5">
        <f t="shared" si="21"/>
        <v>0</v>
      </c>
      <c r="AG15" s="145">
        <f t="shared" si="22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>
        <f t="shared" si="3"/>
        <v>1009.6</v>
      </c>
      <c r="BP15" s="66"/>
      <c r="BR15" s="9" t="str">
        <f>'Verification of Boxes'!J17</f>
        <v>HIGGINSON</v>
      </c>
      <c r="BS15" s="64">
        <v>498.12</v>
      </c>
      <c r="BT15" s="5">
        <f t="shared" si="4"/>
        <v>498.12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498.12</v>
      </c>
    </row>
    <row r="16" spans="1:105" ht="15" customHeight="1" thickBot="1" x14ac:dyDescent="0.3">
      <c r="A16" s="20">
        <f>IF('Stage 3'!A16&lt;&gt;0,'Stage 3'!A16,IF(K16&gt;=$M$3,"Elected",IF(BP13&lt;&gt;0,"Excluded",0)))</f>
        <v>0</v>
      </c>
      <c r="B16" s="235">
        <f>'Stage 3'!B16</f>
        <v>0</v>
      </c>
      <c r="C16" s="153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 t="shared" si="12"/>
        <v>0</v>
      </c>
      <c r="K16" s="27">
        <f t="shared" si="13"/>
        <v>675.16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EATON</v>
      </c>
      <c r="AA16" s="37">
        <f t="shared" ref="AA16:AA32" si="24">I13</f>
        <v>1183.1600000000001</v>
      </c>
      <c r="AB16" s="5"/>
      <c r="AC16" s="5">
        <f t="shared" si="20"/>
        <v>-90.839999999999918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>
        <f t="shared" si="2"/>
        <v>0</v>
      </c>
      <c r="BM16" s="3"/>
      <c r="BN16" s="5">
        <f t="shared" si="11"/>
        <v>0</v>
      </c>
      <c r="BO16" s="7">
        <f t="shared" si="3"/>
        <v>683.36</v>
      </c>
      <c r="BP16" s="66"/>
      <c r="BR16" s="9" t="str">
        <f>'Verification of Boxes'!J18</f>
        <v>LEE</v>
      </c>
      <c r="BS16" s="64">
        <v>3</v>
      </c>
      <c r="BT16" s="5">
        <f t="shared" si="4"/>
        <v>3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3</v>
      </c>
    </row>
    <row r="17" spans="1:83" ht="15" customHeight="1" thickBot="1" x14ac:dyDescent="0.3">
      <c r="A17" s="20">
        <f>IF('Stage 3'!A17&lt;&gt;0,'Stage 3'!A17,IF(K17&gt;=$M$3,"Elected",IF(BP14&lt;&gt;0,"Excluded",0)))</f>
        <v>0</v>
      </c>
      <c r="B17" s="235">
        <f>'Stage 3'!B17</f>
        <v>0</v>
      </c>
      <c r="C17" s="153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 t="shared" si="12"/>
        <v>18</v>
      </c>
      <c r="K17" s="27">
        <f t="shared" si="13"/>
        <v>786.92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GALLEN</v>
      </c>
      <c r="AA17" s="37">
        <f t="shared" si="24"/>
        <v>1042.08</v>
      </c>
      <c r="AB17" s="5"/>
      <c r="AC17" s="5">
        <f t="shared" si="20"/>
        <v>-231.92000000000007</v>
      </c>
      <c r="AD17" s="5"/>
      <c r="AE17" s="5" t="str">
        <f t="shared" si="23"/>
        <v>continuing</v>
      </c>
      <c r="AF17" s="5">
        <f t="shared" si="21"/>
        <v>0</v>
      </c>
      <c r="AG17" s="145">
        <f t="shared" si="22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793.88</v>
      </c>
      <c r="BP17" s="66"/>
      <c r="BR17" s="9" t="str">
        <f>'Verification of Boxes'!J19</f>
        <v>MCKEEVER</v>
      </c>
      <c r="BS17" s="64">
        <v>2</v>
      </c>
      <c r="BT17" s="5">
        <f t="shared" si="4"/>
        <v>2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2</v>
      </c>
    </row>
    <row r="18" spans="1:83" ht="15" customHeight="1" thickBot="1" x14ac:dyDescent="0.3">
      <c r="A18" s="20" t="str">
        <f>IF('Stage 3'!A18&lt;&gt;0,'Stage 3'!A18,IF(K18&gt;=$M$3,"Elected",IF(BP15&lt;&gt;0,"Excluded",0)))</f>
        <v>Elected</v>
      </c>
      <c r="B18" s="235">
        <f>'Stage 3'!B18</f>
        <v>0</v>
      </c>
      <c r="C18" s="153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 t="shared" si="12"/>
        <v>498.12</v>
      </c>
      <c r="K18" s="27">
        <f t="shared" si="13"/>
        <v>1507.72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GUY</v>
      </c>
      <c r="AA18" s="37">
        <f t="shared" si="24"/>
        <v>1274</v>
      </c>
      <c r="AB18" s="5"/>
      <c r="AC18" s="5">
        <f t="shared" si="20"/>
        <v>0</v>
      </c>
      <c r="AD18" s="5"/>
      <c r="AE18" s="5" t="str">
        <f t="shared" si="23"/>
        <v>elected</v>
      </c>
      <c r="AF18" s="5">
        <f t="shared" si="21"/>
        <v>0</v>
      </c>
      <c r="AG18" s="145">
        <f t="shared" si="22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3'!A19&lt;&gt;0,'Stage 3'!A19,IF(K19&gt;=$M$3,"Elected",IF(BP16&lt;&gt;0,"Excluded",0)))</f>
        <v>0</v>
      </c>
      <c r="B19" s="235">
        <f>'Stage 3'!B19</f>
        <v>0</v>
      </c>
      <c r="C19" s="153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 t="shared" si="12"/>
        <v>3</v>
      </c>
      <c r="K19" s="27">
        <f t="shared" si="13"/>
        <v>686.36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HAMLEY</v>
      </c>
      <c r="AA19" s="37">
        <f t="shared" si="24"/>
        <v>675.16</v>
      </c>
      <c r="AB19" s="5"/>
      <c r="AC19" s="5">
        <f t="shared" si="20"/>
        <v>-598.84</v>
      </c>
      <c r="AD19" s="5"/>
      <c r="AE19" s="5" t="str">
        <f t="shared" si="23"/>
        <v>continuing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528.12</v>
      </c>
      <c r="BP19" s="66" t="s">
        <v>187</v>
      </c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 t="shared" si="12"/>
        <v>2</v>
      </c>
      <c r="K20" s="27">
        <f t="shared" si="13"/>
        <v>795.88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HENDERSON</v>
      </c>
      <c r="AA20" s="37">
        <f t="shared" si="24"/>
        <v>768.92</v>
      </c>
      <c r="AB20" s="5"/>
      <c r="AC20" s="5">
        <f t="shared" si="20"/>
        <v>-505.08000000000004</v>
      </c>
      <c r="AD20" s="5"/>
      <c r="AE20" s="5" t="str">
        <f t="shared" si="23"/>
        <v>continuing</v>
      </c>
      <c r="AF20" s="5">
        <f t="shared" si="21"/>
        <v>0</v>
      </c>
      <c r="AG20" s="145">
        <f t="shared" si="22"/>
        <v>0</v>
      </c>
      <c r="AJ20" s="344" t="s">
        <v>190</v>
      </c>
      <c r="AK20" s="345"/>
      <c r="AL20" s="142">
        <f>AL46</f>
        <v>528.12</v>
      </c>
      <c r="AM20" s="118"/>
      <c r="AN20" s="142">
        <f>AL20+AG2</f>
        <v>528.12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3'!A21&lt;&gt;0,'Stage 3'!A21,IF(K21&gt;=$M$3,"Elected",IF(BP18&lt;&gt;0,"Excluded",0)))</f>
        <v>Excluded</v>
      </c>
      <c r="B21" s="235">
        <f>'Stage 3'!B21</f>
        <v>0</v>
      </c>
      <c r="C21" s="153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HIGGINSON</v>
      </c>
      <c r="AA21" s="37">
        <f t="shared" si="24"/>
        <v>1009.6</v>
      </c>
      <c r="AB21" s="5"/>
      <c r="AC21" s="5">
        <f t="shared" si="20"/>
        <v>-264.39999999999998</v>
      </c>
      <c r="AD21" s="5"/>
      <c r="AE21" s="5" t="str">
        <f t="shared" si="23"/>
        <v>continuing</v>
      </c>
      <c r="AF21" s="5">
        <f t="shared" si="21"/>
        <v>0</v>
      </c>
      <c r="AG21" s="145">
        <f t="shared" si="22"/>
        <v>0</v>
      </c>
      <c r="AJ21" s="327" t="s">
        <v>191</v>
      </c>
      <c r="AK21" s="275"/>
      <c r="AL21" s="37">
        <f>IF(AL20=1000000,0,AN46)</f>
        <v>675.16</v>
      </c>
      <c r="AM21" s="5">
        <f>AL21-AL20</f>
        <v>147.03999999999996</v>
      </c>
      <c r="AN21" s="5">
        <f>IF(AL21=1000000,0,IF(AN20=0,0,AN20+AL21))</f>
        <v>1203.28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3'!A22&lt;&gt;0,'Stage 3'!A22,IF(K22&gt;=$M$3,"Elected",IF(BP19&lt;&gt;0,"Excluded",0)))</f>
        <v>Excluded</v>
      </c>
      <c r="B22" s="235">
        <f>'Stage 3'!B22</f>
        <v>0</v>
      </c>
      <c r="C22" s="153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 t="shared" si="12"/>
        <v>-528.12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 t="str">
        <f>'Verification of Boxes'!J18</f>
        <v>LEE</v>
      </c>
      <c r="AA22" s="37">
        <f t="shared" si="24"/>
        <v>683.36</v>
      </c>
      <c r="AB22" s="5"/>
      <c r="AC22" s="5">
        <f t="shared" si="20"/>
        <v>-590.64</v>
      </c>
      <c r="AD22" s="5"/>
      <c r="AE22" s="5" t="str">
        <f t="shared" si="23"/>
        <v>continuing</v>
      </c>
      <c r="AF22" s="5">
        <f t="shared" si="21"/>
        <v>0</v>
      </c>
      <c r="AG22" s="145">
        <f t="shared" si="22"/>
        <v>0</v>
      </c>
      <c r="AJ22" s="327" t="s">
        <v>191</v>
      </c>
      <c r="AK22" s="275"/>
      <c r="AL22" s="37">
        <f>IF(AL21=1000000,0,AP46)</f>
        <v>683.36</v>
      </c>
      <c r="AM22" s="5">
        <f>IF(AL22=1000000,0,IF(AM21=0,0,AL22-AL21))</f>
        <v>8.2000000000000455</v>
      </c>
      <c r="AN22" s="5">
        <f>IF(AL22=1000000,0,IF(AN21=0,0,AN21+AL22))</f>
        <v>1886.6399999999999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 t="str">
        <f>'Verification of Boxes'!J19</f>
        <v>MCKEEVER</v>
      </c>
      <c r="AA23" s="37">
        <f t="shared" si="24"/>
        <v>793.88</v>
      </c>
      <c r="AB23" s="5"/>
      <c r="AC23" s="5">
        <f t="shared" si="20"/>
        <v>-480.12</v>
      </c>
      <c r="AD23" s="5"/>
      <c r="AE23" s="5" t="str">
        <f t="shared" si="23"/>
        <v>continuing</v>
      </c>
      <c r="AF23" s="5">
        <f t="shared" si="21"/>
        <v>0</v>
      </c>
      <c r="AG23" s="145">
        <f t="shared" si="22"/>
        <v>0</v>
      </c>
      <c r="AJ23" s="327" t="s">
        <v>191</v>
      </c>
      <c r="AK23" s="275"/>
      <c r="AL23" s="37">
        <f>IF(AL22=1000000,0,AR46)</f>
        <v>768.92</v>
      </c>
      <c r="AM23" s="5">
        <f>IF(AL23=1000000,0,IF(AM22=0,0,AL23-AL22))</f>
        <v>85.559999999999945</v>
      </c>
      <c r="AN23" s="5">
        <f>IF(AL23=1000000,0,IF(AN22=0,0,AN22+AL23))</f>
        <v>2655.56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 t="str">
        <f>'Verification of Boxes'!J20</f>
        <v>MILLER</v>
      </c>
      <c r="AA24" s="37">
        <f t="shared" si="24"/>
        <v>0</v>
      </c>
      <c r="AB24" s="5"/>
      <c r="AC24" s="5">
        <f t="shared" si="20"/>
        <v>0</v>
      </c>
      <c r="AD24" s="5"/>
      <c r="AE24" s="5" t="str">
        <f t="shared" si="23"/>
        <v>excluded</v>
      </c>
      <c r="AF24" s="5">
        <f t="shared" si="21"/>
        <v>0</v>
      </c>
      <c r="AG24" s="145">
        <f t="shared" si="22"/>
        <v>0</v>
      </c>
      <c r="AJ24" s="327" t="s">
        <v>191</v>
      </c>
      <c r="AK24" s="275"/>
      <c r="AL24" s="37">
        <f>IF(AR46=1000000,0,AU46)</f>
        <v>793.88</v>
      </c>
      <c r="AM24" s="5">
        <f>IF(AL24=1000000,0,IF(AM23=0,0,AL24-AL23))</f>
        <v>24.960000000000036</v>
      </c>
      <c r="AN24" s="5">
        <f>IF(AL24=1000000,0,IF(AN23=0,0,AN23+AL24))</f>
        <v>3449.44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 t="str">
        <f>'Verification of Boxes'!J21</f>
        <v>TRAYNOR</v>
      </c>
      <c r="AA25" s="37">
        <f t="shared" si="24"/>
        <v>528.12</v>
      </c>
      <c r="AB25" s="5"/>
      <c r="AC25" s="5">
        <f t="shared" si="20"/>
        <v>-745.88</v>
      </c>
      <c r="AD25" s="5"/>
      <c r="AE25" s="5" t="str">
        <f t="shared" si="23"/>
        <v>continuing</v>
      </c>
      <c r="AF25" s="5">
        <f t="shared" si="21"/>
        <v>0</v>
      </c>
      <c r="AG25" s="145">
        <f t="shared" si="22"/>
        <v>0</v>
      </c>
      <c r="AJ25" s="325" t="s">
        <v>191</v>
      </c>
      <c r="AK25" s="326"/>
      <c r="AL25" s="89">
        <f>IF(AL24=1000000,0,AW46)</f>
        <v>1000.88</v>
      </c>
      <c r="AM25" s="90">
        <f>IF(AL25=1000000,0,IF(AM24=0,0,AL25-AL24))</f>
        <v>207</v>
      </c>
      <c r="AN25" s="90">
        <f>IF(AL25=1000000,0,IF(AN24=0,0,AN24+AL25))</f>
        <v>4450.32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1</v>
      </c>
      <c r="AV27" s="5">
        <f>AU27</f>
        <v>1</v>
      </c>
      <c r="AW27" s="5">
        <f t="shared" ref="AW27:AW32" si="26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5"/>
        <v>0</v>
      </c>
      <c r="AV28" s="5">
        <f>AV27+AU28</f>
        <v>1</v>
      </c>
      <c r="AW28" s="5">
        <f t="shared" si="26"/>
        <v>0</v>
      </c>
      <c r="BA28" s="3"/>
      <c r="BB28" s="3"/>
      <c r="BC28" s="2"/>
      <c r="BR28" s="19" t="s">
        <v>127</v>
      </c>
      <c r="BS28" s="63">
        <v>1</v>
      </c>
      <c r="BT28" s="119">
        <f t="shared" si="4"/>
        <v>1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1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5"/>
        <v>0</v>
      </c>
      <c r="AV29" s="5">
        <f>AV28+AU29</f>
        <v>1</v>
      </c>
      <c r="AW29" s="5">
        <f t="shared" si="26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528.12</v>
      </c>
      <c r="BT29" s="5">
        <f t="shared" si="4"/>
        <v>528.12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528.12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1</v>
      </c>
      <c r="AW30" s="5">
        <f t="shared" si="26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238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$BK69</f>
        <v>1</v>
      </c>
      <c r="K31" s="40">
        <f t="shared" si="13"/>
        <v>13.599999999999994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5"/>
        <v>0</v>
      </c>
      <c r="AV31" s="5">
        <f>AV30+AU31</f>
        <v>1</v>
      </c>
      <c r="AW31" s="5">
        <f t="shared" si="26"/>
        <v>0</v>
      </c>
      <c r="AZ31" t="s">
        <v>209</v>
      </c>
      <c r="BA31" s="3" t="s">
        <v>210</v>
      </c>
      <c r="BB31" s="3"/>
      <c r="BC31" s="50" t="b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528.12</v>
      </c>
      <c r="BX31" s="324"/>
      <c r="BY31" s="324"/>
      <c r="BZ31" s="5">
        <f>BW69-BW31</f>
        <v>0</v>
      </c>
      <c r="CB31" s="352" t="s">
        <v>238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49">
        <f>SUM(K11:K31)</f>
        <v>10185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5"/>
        <v>0</v>
      </c>
      <c r="AV32" s="5">
        <f>AV31+AU32</f>
        <v>1</v>
      </c>
      <c r="AW32" s="5">
        <f t="shared" si="26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3">
        <v>0.68888888888888899</v>
      </c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TRAYNOR</v>
      </c>
      <c r="AA44" s="250">
        <v>528.12</v>
      </c>
      <c r="AB44" s="250">
        <v>528.12</v>
      </c>
      <c r="AC44" s="250">
        <f>AC43+AA44</f>
        <v>528.12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HAMLEY</v>
      </c>
      <c r="AA45" s="250">
        <v>675.16</v>
      </c>
      <c r="AB45" s="250">
        <v>675.16</v>
      </c>
      <c r="AC45" s="250">
        <f>AC44+AA45</f>
        <v>1203.28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LEE</v>
      </c>
      <c r="AA46" s="250">
        <v>683.36</v>
      </c>
      <c r="AB46" s="250">
        <v>683.36</v>
      </c>
      <c r="AC46" s="250">
        <f t="shared" ref="AC46:AC63" si="30">AC45+AA46</f>
        <v>1886.6399999999999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528.12</v>
      </c>
      <c r="AN46" s="2">
        <f>AN47+AL46</f>
        <v>675.16</v>
      </c>
      <c r="AP46" s="2">
        <f>AP47+AN46</f>
        <v>683.36</v>
      </c>
      <c r="AR46" s="2">
        <f>AR47+AP46</f>
        <v>768.92</v>
      </c>
      <c r="AS46" s="2"/>
      <c r="AU46" s="2">
        <f>AU47+AR46</f>
        <v>793.88</v>
      </c>
      <c r="AW46" s="2">
        <f>AW47+AU46</f>
        <v>1000.88</v>
      </c>
      <c r="AX46" s="2"/>
      <c r="BG46" t="s">
        <v>218</v>
      </c>
    </row>
    <row r="47" spans="4:75" x14ac:dyDescent="0.25">
      <c r="Z47" s="253" t="str">
        <v>HENDERSON</v>
      </c>
      <c r="AA47" s="250">
        <v>768.92</v>
      </c>
      <c r="AB47" s="250">
        <v>768.92</v>
      </c>
      <c r="AC47" s="250">
        <f t="shared" si="30"/>
        <v>2655.56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528.12</v>
      </c>
      <c r="AN47" s="2">
        <f>MIN(AN48:AN67)</f>
        <v>147.03999999999996</v>
      </c>
      <c r="AP47" s="2">
        <f>MIN(AP48:AP67)</f>
        <v>8.2000000000000455</v>
      </c>
      <c r="AR47" s="2">
        <f>MIN(AR48:AR67)</f>
        <v>85.559999999999945</v>
      </c>
      <c r="AS47" s="2"/>
      <c r="AU47" s="2">
        <f>MIN(AU48:AU67)</f>
        <v>24.960000000000036</v>
      </c>
      <c r="AW47" s="2">
        <f>MIN(AW48:AW67)</f>
        <v>207</v>
      </c>
      <c r="AX47" s="2"/>
    </row>
    <row r="48" spans="4:75" ht="37.5" x14ac:dyDescent="0.25">
      <c r="Z48" s="253" t="str">
        <v>MCKEEVER</v>
      </c>
      <c r="AA48" s="250">
        <v>793.88</v>
      </c>
      <c r="AB48" s="250">
        <v>793.88</v>
      </c>
      <c r="AC48" s="250">
        <f t="shared" si="30"/>
        <v>3449.44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BASSETT</v>
      </c>
      <c r="AK48" s="2">
        <f t="shared" si="31"/>
        <v>1000.88</v>
      </c>
      <c r="AL48">
        <f>IF(AK48&lt;&gt;0,AK48,1000000)</f>
        <v>1000.88</v>
      </c>
      <c r="AM48" s="2">
        <f t="shared" ref="AM48:AM67" si="32">AL48-AL$47</f>
        <v>472.76</v>
      </c>
      <c r="AN48">
        <f>IF(AM48&lt;&gt;0,AM48,1000000)</f>
        <v>472.76</v>
      </c>
      <c r="AO48" s="2">
        <f t="shared" ref="AO48:AO67" si="33">AN48-AN$47</f>
        <v>325.72000000000003</v>
      </c>
      <c r="AP48">
        <f t="shared" ref="AP48:AP67" si="34">IF(AO48&lt;&gt;0,AO48,1000000)</f>
        <v>325.72000000000003</v>
      </c>
      <c r="AQ48" s="2">
        <f t="shared" ref="AQ48:AQ67" si="35">AP48-AP$47</f>
        <v>317.52</v>
      </c>
      <c r="AR48">
        <f t="shared" ref="AR48:AR67" si="36">IF(AQ48&lt;&gt;0,AQ48,1000000)</f>
        <v>317.52</v>
      </c>
      <c r="AT48" s="2">
        <f t="shared" ref="AT48:AT67" si="37">AR48-AR$47</f>
        <v>231.96000000000004</v>
      </c>
      <c r="AU48">
        <f t="shared" ref="AU48:AU67" si="38">IF(AT48&lt;&gt;0,AT48,1000000)</f>
        <v>231.96000000000004</v>
      </c>
      <c r="AV48" s="2">
        <f t="shared" ref="AV48:AV67" si="39">AU48-AU$47</f>
        <v>207</v>
      </c>
      <c r="AW48">
        <f t="shared" ref="AW48:AW67" si="40">IF(AV48&lt;&gt;0,AV48,1000000)</f>
        <v>207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BASSETT</v>
      </c>
      <c r="AA49" s="250">
        <v>1000.88</v>
      </c>
      <c r="AB49" s="250">
        <v>1000.88</v>
      </c>
      <c r="AC49" s="250">
        <f t="shared" si="30"/>
        <v>4450.32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CARLIN</v>
      </c>
      <c r="AK49" s="2">
        <f t="shared" si="31"/>
        <v>1213.24</v>
      </c>
      <c r="AL49">
        <f t="shared" ref="AL49:AL67" si="41">IF(AK49&lt;&gt;0,AK49,1000000)</f>
        <v>1213.24</v>
      </c>
      <c r="AM49" s="2">
        <f t="shared" si="32"/>
        <v>685.12</v>
      </c>
      <c r="AN49">
        <f t="shared" ref="AN49:AN67" si="42">IF(AM49&lt;&gt;0,AM49,1000000)</f>
        <v>685.12</v>
      </c>
      <c r="AO49" s="2">
        <f t="shared" si="33"/>
        <v>538.08000000000004</v>
      </c>
      <c r="AP49">
        <f t="shared" si="34"/>
        <v>538.08000000000004</v>
      </c>
      <c r="AQ49" s="2">
        <f t="shared" si="35"/>
        <v>529.88</v>
      </c>
      <c r="AR49">
        <f t="shared" si="36"/>
        <v>529.88</v>
      </c>
      <c r="AT49" s="2">
        <f t="shared" si="37"/>
        <v>444.32000000000005</v>
      </c>
      <c r="AU49">
        <f t="shared" si="38"/>
        <v>444.32000000000005</v>
      </c>
      <c r="AV49" s="2">
        <f t="shared" si="39"/>
        <v>419.36</v>
      </c>
      <c r="AW49">
        <f t="shared" si="40"/>
        <v>419.36</v>
      </c>
      <c r="BE49" s="5">
        <f>IF($BH5="y",$BE5,IF($BH6="y",$BE6,IF($BH7="y",$BE7,IF($BH8="y",$BE8,IF($BH9="y",$BE9,IF($BH10="y",$BE10,0))))))</f>
        <v>0</v>
      </c>
      <c r="BG49" s="125" t="str">
        <f t="shared" ref="BG49:BG68" si="43">BE5</f>
        <v>BASSETT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HIGGINSON</v>
      </c>
      <c r="AA50" s="250">
        <v>1009.6</v>
      </c>
      <c r="AB50" s="250">
        <v>1009.6</v>
      </c>
      <c r="AC50" s="250">
        <f t="shared" si="30"/>
        <v>5459.92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EATON</v>
      </c>
      <c r="AK50" s="2">
        <f t="shared" si="31"/>
        <v>1183.1600000000001</v>
      </c>
      <c r="AL50">
        <f t="shared" si="41"/>
        <v>1183.1600000000001</v>
      </c>
      <c r="AM50" s="2">
        <f t="shared" si="32"/>
        <v>655.04000000000008</v>
      </c>
      <c r="AN50">
        <f t="shared" si="42"/>
        <v>655.04000000000008</v>
      </c>
      <c r="AO50" s="2">
        <f t="shared" si="33"/>
        <v>508.00000000000011</v>
      </c>
      <c r="AP50">
        <f t="shared" si="34"/>
        <v>508.00000000000011</v>
      </c>
      <c r="AQ50" s="2">
        <f t="shared" si="35"/>
        <v>499.80000000000007</v>
      </c>
      <c r="AR50">
        <f t="shared" si="36"/>
        <v>499.80000000000007</v>
      </c>
      <c r="AT50" s="2">
        <f t="shared" si="37"/>
        <v>414.24000000000012</v>
      </c>
      <c r="AU50">
        <f t="shared" si="38"/>
        <v>414.24000000000012</v>
      </c>
      <c r="AV50" s="2">
        <f t="shared" si="39"/>
        <v>389.28000000000009</v>
      </c>
      <c r="AW50">
        <f t="shared" si="40"/>
        <v>389.28000000000009</v>
      </c>
      <c r="BE50" s="5">
        <f>IF($BH11="y",$BE11,IF($BH12="y",$BE12,IF($BH13="y",$BE13,IF($BH14="y",$BE14,IF($BH15="y",$BE15,IF($BH16="y",$BE16,0))))))</f>
        <v>0</v>
      </c>
      <c r="BG50" s="127" t="str">
        <f t="shared" si="43"/>
        <v>CARLIN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1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GALLEN</v>
      </c>
      <c r="AA51" s="250">
        <v>1042.08</v>
      </c>
      <c r="AB51" s="250">
        <v>1042.08</v>
      </c>
      <c r="AC51" s="250">
        <f t="shared" si="30"/>
        <v>6502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GALLEN</v>
      </c>
      <c r="AK51" s="2">
        <f t="shared" si="31"/>
        <v>1042.08</v>
      </c>
      <c r="AL51">
        <f t="shared" si="41"/>
        <v>1042.08</v>
      </c>
      <c r="AM51" s="2">
        <f t="shared" si="32"/>
        <v>513.95999999999992</v>
      </c>
      <c r="AN51">
        <f t="shared" si="42"/>
        <v>513.95999999999992</v>
      </c>
      <c r="AO51" s="2">
        <f t="shared" si="33"/>
        <v>366.91999999999996</v>
      </c>
      <c r="AP51">
        <f t="shared" si="34"/>
        <v>366.91999999999996</v>
      </c>
      <c r="AQ51" s="2">
        <f t="shared" si="35"/>
        <v>358.71999999999991</v>
      </c>
      <c r="AR51">
        <f t="shared" si="36"/>
        <v>358.71999999999991</v>
      </c>
      <c r="AT51" s="2">
        <f t="shared" si="37"/>
        <v>273.15999999999997</v>
      </c>
      <c r="AU51">
        <f t="shared" si="38"/>
        <v>273.15999999999997</v>
      </c>
      <c r="AV51" s="2">
        <f t="shared" si="39"/>
        <v>248.19999999999993</v>
      </c>
      <c r="AW51">
        <f t="shared" si="40"/>
        <v>248.19999999999993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EATON</v>
      </c>
      <c r="BH51" s="128"/>
      <c r="BI51" s="5">
        <f t="shared" si="44"/>
        <v>0</v>
      </c>
      <c r="BJ51" s="5">
        <f t="shared" si="45"/>
        <v>0</v>
      </c>
      <c r="BK51" s="5">
        <f t="shared" si="46"/>
        <v>3</v>
      </c>
      <c r="BN51" s="5">
        <f t="shared" si="47"/>
        <v>0</v>
      </c>
      <c r="BW51" s="5">
        <f t="shared" si="48"/>
        <v>0</v>
      </c>
    </row>
    <row r="52" spans="26:75" x14ac:dyDescent="0.25">
      <c r="Z52" s="253" t="str">
        <v>EATON</v>
      </c>
      <c r="AA52" s="250">
        <v>1183.1600000000001</v>
      </c>
      <c r="AB52" s="250">
        <v>1183.1600000000001</v>
      </c>
      <c r="AC52" s="250">
        <f t="shared" si="30"/>
        <v>7685.16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GUY</v>
      </c>
      <c r="AK52" s="2">
        <f t="shared" si="31"/>
        <v>1274</v>
      </c>
      <c r="AL52">
        <f t="shared" si="41"/>
        <v>1274</v>
      </c>
      <c r="AM52" s="2">
        <f t="shared" si="32"/>
        <v>745.88</v>
      </c>
      <c r="AN52">
        <f t="shared" si="42"/>
        <v>745.88</v>
      </c>
      <c r="AO52" s="2">
        <f t="shared" si="33"/>
        <v>598.84</v>
      </c>
      <c r="AP52">
        <f t="shared" si="34"/>
        <v>598.84</v>
      </c>
      <c r="AQ52" s="2">
        <f t="shared" si="35"/>
        <v>590.64</v>
      </c>
      <c r="AR52">
        <f t="shared" si="36"/>
        <v>590.64</v>
      </c>
      <c r="AT52" s="2">
        <f t="shared" si="37"/>
        <v>505.08000000000004</v>
      </c>
      <c r="AU52">
        <f t="shared" si="38"/>
        <v>505.08000000000004</v>
      </c>
      <c r="AV52" s="2">
        <f t="shared" si="39"/>
        <v>480.12</v>
      </c>
      <c r="AW52">
        <f t="shared" si="40"/>
        <v>480.12</v>
      </c>
      <c r="BE52" s="5">
        <f>IF($BH23="y",$BE23,IF($BH24="y",$BE24,0))</f>
        <v>0</v>
      </c>
      <c r="BG52" s="127" t="str">
        <f t="shared" si="43"/>
        <v>GALLEN</v>
      </c>
      <c r="BH52" s="128"/>
      <c r="BI52" s="5">
        <f t="shared" si="44"/>
        <v>0</v>
      </c>
      <c r="BJ52" s="5">
        <f t="shared" si="45"/>
        <v>0</v>
      </c>
      <c r="BK52" s="5">
        <f t="shared" si="46"/>
        <v>2</v>
      </c>
      <c r="BN52" s="5">
        <f t="shared" si="47"/>
        <v>0</v>
      </c>
      <c r="BW52" s="5">
        <f t="shared" si="48"/>
        <v>0</v>
      </c>
    </row>
    <row r="53" spans="26:75" x14ac:dyDescent="0.25">
      <c r="Z53" s="253" t="str">
        <v>CARLIN</v>
      </c>
      <c r="AA53" s="250">
        <v>1213.24</v>
      </c>
      <c r="AB53" s="250">
        <v>1213.24</v>
      </c>
      <c r="AC53" s="250">
        <f t="shared" si="30"/>
        <v>8898.4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HAMLEY</v>
      </c>
      <c r="AK53" s="2">
        <f t="shared" si="31"/>
        <v>675.16</v>
      </c>
      <c r="AL53">
        <f t="shared" si="41"/>
        <v>675.16</v>
      </c>
      <c r="AM53" s="2">
        <f t="shared" si="32"/>
        <v>147.03999999999996</v>
      </c>
      <c r="AN53">
        <f t="shared" si="42"/>
        <v>147.03999999999996</v>
      </c>
      <c r="AO53" s="2">
        <f t="shared" si="33"/>
        <v>0</v>
      </c>
      <c r="AP53">
        <f t="shared" si="34"/>
        <v>1000000</v>
      </c>
      <c r="AQ53" s="2">
        <f t="shared" si="35"/>
        <v>999991.8</v>
      </c>
      <c r="AR53">
        <f t="shared" si="36"/>
        <v>999991.8</v>
      </c>
      <c r="AT53" s="2">
        <f t="shared" si="37"/>
        <v>999906.24</v>
      </c>
      <c r="AU53">
        <f t="shared" si="38"/>
        <v>999906.24</v>
      </c>
      <c r="AV53" s="2">
        <f t="shared" si="39"/>
        <v>999881.28</v>
      </c>
      <c r="AW53">
        <f t="shared" si="40"/>
        <v>999881.28</v>
      </c>
      <c r="BG53" s="127" t="str">
        <f t="shared" si="43"/>
        <v>GUY</v>
      </c>
      <c r="BH53" s="128"/>
      <c r="BI53" s="5">
        <f t="shared" si="44"/>
        <v>0</v>
      </c>
      <c r="BJ53" s="5">
        <f t="shared" si="45"/>
        <v>0</v>
      </c>
      <c r="BK53" s="5">
        <f t="shared" si="46"/>
        <v>0</v>
      </c>
      <c r="BN53" s="5">
        <f t="shared" si="47"/>
        <v>0</v>
      </c>
      <c r="BW53" s="5">
        <f t="shared" si="48"/>
        <v>0</v>
      </c>
    </row>
    <row r="54" spans="26:75" x14ac:dyDescent="0.25">
      <c r="Z54" s="253" t="str">
        <v>GUY</v>
      </c>
      <c r="AA54" s="250">
        <v>1274</v>
      </c>
      <c r="AB54" s="250">
        <v>1274</v>
      </c>
      <c r="AC54" s="250">
        <f t="shared" si="30"/>
        <v>10172.4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HENDERSON</v>
      </c>
      <c r="AK54" s="2">
        <f t="shared" si="31"/>
        <v>768.92</v>
      </c>
      <c r="AL54">
        <f t="shared" si="41"/>
        <v>768.92</v>
      </c>
      <c r="AM54" s="2">
        <f t="shared" si="32"/>
        <v>240.79999999999995</v>
      </c>
      <c r="AN54">
        <f t="shared" si="42"/>
        <v>240.79999999999995</v>
      </c>
      <c r="AO54" s="2">
        <f t="shared" si="33"/>
        <v>93.759999999999991</v>
      </c>
      <c r="AP54">
        <f t="shared" si="34"/>
        <v>93.759999999999991</v>
      </c>
      <c r="AQ54" s="2">
        <f t="shared" si="35"/>
        <v>85.559999999999945</v>
      </c>
      <c r="AR54">
        <f t="shared" si="36"/>
        <v>85.559999999999945</v>
      </c>
      <c r="AT54" s="2">
        <f t="shared" si="37"/>
        <v>0</v>
      </c>
      <c r="AU54">
        <f t="shared" si="38"/>
        <v>1000000</v>
      </c>
      <c r="AV54" s="2">
        <f t="shared" si="39"/>
        <v>999975.04</v>
      </c>
      <c r="AW54">
        <f t="shared" si="40"/>
        <v>999975.04</v>
      </c>
      <c r="BG54" s="127" t="str">
        <f t="shared" si="43"/>
        <v>HAMLEY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0</v>
      </c>
      <c r="BN54" s="5">
        <f t="shared" si="47"/>
        <v>0</v>
      </c>
      <c r="BW54" s="5">
        <f t="shared" si="48"/>
        <v>0</v>
      </c>
    </row>
    <row r="55" spans="26:75" x14ac:dyDescent="0.25">
      <c r="Z55" s="253" t="str">
        <v>MILLER</v>
      </c>
      <c r="AA55" s="250">
        <v>0</v>
      </c>
      <c r="AB55" s="250">
        <v>1000000</v>
      </c>
      <c r="AC55" s="250">
        <f t="shared" si="30"/>
        <v>10172.4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HIGGINSON</v>
      </c>
      <c r="AK55" s="2">
        <f t="shared" si="31"/>
        <v>1009.6</v>
      </c>
      <c r="AL55">
        <f t="shared" si="41"/>
        <v>1009.6</v>
      </c>
      <c r="AM55" s="2">
        <f t="shared" si="32"/>
        <v>481.48</v>
      </c>
      <c r="AN55">
        <f t="shared" si="42"/>
        <v>481.48</v>
      </c>
      <c r="AO55" s="2">
        <f t="shared" si="33"/>
        <v>334.44000000000005</v>
      </c>
      <c r="AP55">
        <f t="shared" si="34"/>
        <v>334.44000000000005</v>
      </c>
      <c r="AQ55" s="2">
        <f t="shared" si="35"/>
        <v>326.24</v>
      </c>
      <c r="AR55">
        <f t="shared" si="36"/>
        <v>326.24</v>
      </c>
      <c r="AT55" s="2">
        <f t="shared" si="37"/>
        <v>240.68000000000006</v>
      </c>
      <c r="AU55">
        <f t="shared" si="38"/>
        <v>240.68000000000006</v>
      </c>
      <c r="AV55" s="2">
        <f t="shared" si="39"/>
        <v>215.72000000000003</v>
      </c>
      <c r="AW55">
        <f t="shared" si="40"/>
        <v>215.72000000000003</v>
      </c>
      <c r="BG55" s="127" t="str">
        <f t="shared" si="43"/>
        <v>HENDERSON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18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10172.4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1"/>
        <v>LEE</v>
      </c>
      <c r="AK56" s="2">
        <f t="shared" si="31"/>
        <v>683.36</v>
      </c>
      <c r="AL56">
        <f t="shared" si="41"/>
        <v>683.36</v>
      </c>
      <c r="AM56" s="2">
        <f t="shared" si="32"/>
        <v>155.24</v>
      </c>
      <c r="AN56">
        <f t="shared" si="42"/>
        <v>155.24</v>
      </c>
      <c r="AO56" s="2">
        <f t="shared" si="33"/>
        <v>8.2000000000000455</v>
      </c>
      <c r="AP56">
        <f t="shared" si="34"/>
        <v>8.2000000000000455</v>
      </c>
      <c r="AQ56" s="2">
        <f t="shared" si="35"/>
        <v>0</v>
      </c>
      <c r="AR56">
        <f t="shared" si="36"/>
        <v>1000000</v>
      </c>
      <c r="AT56" s="2">
        <f t="shared" si="37"/>
        <v>999914.44</v>
      </c>
      <c r="AU56">
        <f t="shared" si="38"/>
        <v>999914.44</v>
      </c>
      <c r="AV56" s="2">
        <f t="shared" si="39"/>
        <v>999889.48</v>
      </c>
      <c r="AW56">
        <f t="shared" si="40"/>
        <v>999889.48</v>
      </c>
      <c r="BG56" s="127" t="str">
        <f t="shared" si="43"/>
        <v>HIGGINSON</v>
      </c>
      <c r="BH56" s="128"/>
      <c r="BI56" s="5">
        <f t="shared" si="44"/>
        <v>0</v>
      </c>
      <c r="BJ56" s="5">
        <f t="shared" si="45"/>
        <v>0</v>
      </c>
      <c r="BK56" s="5">
        <f t="shared" si="46"/>
        <v>498.12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10172.4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1"/>
        <v>MCKEEVER</v>
      </c>
      <c r="AK57" s="2">
        <f t="shared" si="31"/>
        <v>793.88</v>
      </c>
      <c r="AL57">
        <f t="shared" si="41"/>
        <v>793.88</v>
      </c>
      <c r="AM57" s="2">
        <f t="shared" si="32"/>
        <v>265.76</v>
      </c>
      <c r="AN57">
        <f t="shared" si="42"/>
        <v>265.76</v>
      </c>
      <c r="AO57" s="2">
        <f t="shared" si="33"/>
        <v>118.72000000000003</v>
      </c>
      <c r="AP57">
        <f t="shared" si="34"/>
        <v>118.72000000000003</v>
      </c>
      <c r="AQ57" s="2">
        <f t="shared" si="35"/>
        <v>110.51999999999998</v>
      </c>
      <c r="AR57">
        <f t="shared" si="36"/>
        <v>110.51999999999998</v>
      </c>
      <c r="AT57" s="2">
        <f t="shared" si="37"/>
        <v>24.960000000000036</v>
      </c>
      <c r="AU57">
        <f t="shared" si="38"/>
        <v>24.960000000000036</v>
      </c>
      <c r="AV57" s="2">
        <f t="shared" si="39"/>
        <v>0</v>
      </c>
      <c r="AW57">
        <f t="shared" si="40"/>
        <v>1000000</v>
      </c>
      <c r="BG57" s="127" t="str">
        <f t="shared" si="43"/>
        <v>LEE</v>
      </c>
      <c r="BH57" s="128"/>
      <c r="BI57" s="5">
        <f t="shared" si="44"/>
        <v>0</v>
      </c>
      <c r="BJ57" s="5">
        <f t="shared" si="45"/>
        <v>0</v>
      </c>
      <c r="BK57" s="5">
        <f t="shared" si="46"/>
        <v>3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10172.4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31"/>
        <v>MILLER</v>
      </c>
      <c r="AK58" s="2">
        <f t="shared" si="31"/>
        <v>0</v>
      </c>
      <c r="AL58">
        <f t="shared" si="41"/>
        <v>1000000</v>
      </c>
      <c r="AM58" s="2">
        <f t="shared" si="32"/>
        <v>999471.88</v>
      </c>
      <c r="AN58">
        <f t="shared" si="42"/>
        <v>999471.88</v>
      </c>
      <c r="AO58" s="2">
        <f t="shared" si="33"/>
        <v>999324.84</v>
      </c>
      <c r="AP58">
        <f t="shared" si="34"/>
        <v>999324.84</v>
      </c>
      <c r="AQ58" s="2">
        <f t="shared" si="35"/>
        <v>999316.64</v>
      </c>
      <c r="AR58">
        <f t="shared" si="36"/>
        <v>999316.64</v>
      </c>
      <c r="AT58" s="2">
        <f t="shared" si="37"/>
        <v>999231.08</v>
      </c>
      <c r="AU58">
        <f t="shared" si="38"/>
        <v>999231.08</v>
      </c>
      <c r="AV58" s="2">
        <f t="shared" si="39"/>
        <v>999206.12</v>
      </c>
      <c r="AW58">
        <f t="shared" si="40"/>
        <v>999206.12</v>
      </c>
      <c r="BG58" s="127" t="str">
        <f t="shared" si="43"/>
        <v>MCKEEVER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2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10172.4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31"/>
        <v>TRAYNOR</v>
      </c>
      <c r="AK59" s="2">
        <f t="shared" si="31"/>
        <v>528.12</v>
      </c>
      <c r="AL59">
        <f t="shared" si="41"/>
        <v>528.12</v>
      </c>
      <c r="AM59" s="2">
        <f t="shared" si="32"/>
        <v>0</v>
      </c>
      <c r="AN59">
        <f t="shared" si="42"/>
        <v>1000000</v>
      </c>
      <c r="AO59" s="2">
        <f t="shared" si="33"/>
        <v>999852.96</v>
      </c>
      <c r="AP59">
        <f t="shared" si="34"/>
        <v>999852.96</v>
      </c>
      <c r="AQ59" s="2">
        <f t="shared" si="35"/>
        <v>999844.76</v>
      </c>
      <c r="AR59">
        <f t="shared" si="36"/>
        <v>999844.76</v>
      </c>
      <c r="AT59" s="2">
        <f t="shared" si="37"/>
        <v>999759.2</v>
      </c>
      <c r="AU59">
        <f t="shared" si="38"/>
        <v>999759.2</v>
      </c>
      <c r="AV59" s="2">
        <f t="shared" si="39"/>
        <v>999734.24</v>
      </c>
      <c r="AW59">
        <f t="shared" si="40"/>
        <v>999734.24</v>
      </c>
      <c r="BG59" s="127" t="str">
        <f t="shared" si="43"/>
        <v>MILLER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10172.4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999471.88</v>
      </c>
      <c r="AN60">
        <f t="shared" si="42"/>
        <v>999471.88</v>
      </c>
      <c r="AO60" s="2">
        <f t="shared" si="33"/>
        <v>999324.84</v>
      </c>
      <c r="AP60">
        <f t="shared" si="34"/>
        <v>999324.84</v>
      </c>
      <c r="AQ60" s="2">
        <f t="shared" si="35"/>
        <v>999316.64</v>
      </c>
      <c r="AR60">
        <f t="shared" si="36"/>
        <v>999316.64</v>
      </c>
      <c r="AT60" s="2">
        <f t="shared" si="37"/>
        <v>999231.08</v>
      </c>
      <c r="AU60">
        <f t="shared" si="38"/>
        <v>999231.08</v>
      </c>
      <c r="AV60" s="2">
        <f t="shared" si="39"/>
        <v>999206.12</v>
      </c>
      <c r="AW60">
        <f t="shared" si="40"/>
        <v>999206.12</v>
      </c>
      <c r="BG60" s="127" t="str">
        <f t="shared" si="43"/>
        <v>TRAYNOR</v>
      </c>
      <c r="BH60" s="128"/>
      <c r="BI60" s="5">
        <f t="shared" si="44"/>
        <v>0</v>
      </c>
      <c r="BJ60" s="5">
        <f t="shared" si="45"/>
        <v>-528.12</v>
      </c>
      <c r="BK60" s="5">
        <f t="shared" si="46"/>
        <v>-528.12</v>
      </c>
      <c r="BN60" s="5">
        <f t="shared" si="47"/>
        <v>-528.12</v>
      </c>
      <c r="BW60" s="5">
        <f t="shared" si="48"/>
        <v>528.12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10172.4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999471.88</v>
      </c>
      <c r="AN61">
        <f t="shared" si="42"/>
        <v>999471.88</v>
      </c>
      <c r="AO61" s="2">
        <f t="shared" si="33"/>
        <v>999324.84</v>
      </c>
      <c r="AP61">
        <f t="shared" si="34"/>
        <v>999324.84</v>
      </c>
      <c r="AQ61" s="2">
        <f t="shared" si="35"/>
        <v>999316.64</v>
      </c>
      <c r="AR61">
        <f t="shared" si="36"/>
        <v>999316.64</v>
      </c>
      <c r="AT61" s="2">
        <f t="shared" si="37"/>
        <v>999231.08</v>
      </c>
      <c r="AU61">
        <f t="shared" si="38"/>
        <v>999231.08</v>
      </c>
      <c r="AV61" s="2">
        <f t="shared" si="39"/>
        <v>999206.12</v>
      </c>
      <c r="AW61">
        <f t="shared" si="40"/>
        <v>999206.12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10172.4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999471.88</v>
      </c>
      <c r="AN62">
        <f t="shared" si="42"/>
        <v>999471.88</v>
      </c>
      <c r="AO62" s="2">
        <f t="shared" si="33"/>
        <v>999324.84</v>
      </c>
      <c r="AP62">
        <f t="shared" si="34"/>
        <v>999324.84</v>
      </c>
      <c r="AQ62" s="2">
        <f t="shared" si="35"/>
        <v>999316.64</v>
      </c>
      <c r="AR62">
        <f t="shared" si="36"/>
        <v>999316.64</v>
      </c>
      <c r="AT62" s="2">
        <f t="shared" si="37"/>
        <v>999231.08</v>
      </c>
      <c r="AU62">
        <f t="shared" si="38"/>
        <v>999231.08</v>
      </c>
      <c r="AV62" s="2">
        <f t="shared" si="39"/>
        <v>999206.12</v>
      </c>
      <c r="AW62">
        <f t="shared" si="40"/>
        <v>999206.12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10172.4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999471.88</v>
      </c>
      <c r="AN63">
        <f t="shared" si="42"/>
        <v>999471.88</v>
      </c>
      <c r="AO63" s="2">
        <f t="shared" si="33"/>
        <v>999324.84</v>
      </c>
      <c r="AP63">
        <f t="shared" si="34"/>
        <v>999324.84</v>
      </c>
      <c r="AQ63" s="2">
        <f t="shared" si="35"/>
        <v>999316.64</v>
      </c>
      <c r="AR63">
        <f t="shared" si="36"/>
        <v>999316.64</v>
      </c>
      <c r="AT63" s="2">
        <f t="shared" si="37"/>
        <v>999231.08</v>
      </c>
      <c r="AU63">
        <f t="shared" si="38"/>
        <v>999231.08</v>
      </c>
      <c r="AV63" s="2">
        <f t="shared" si="39"/>
        <v>999206.12</v>
      </c>
      <c r="AW63">
        <f t="shared" si="40"/>
        <v>999206.12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999471.88</v>
      </c>
      <c r="AN64">
        <f t="shared" si="42"/>
        <v>999471.88</v>
      </c>
      <c r="AO64" s="2">
        <f t="shared" si="33"/>
        <v>999324.84</v>
      </c>
      <c r="AP64">
        <f t="shared" si="34"/>
        <v>999324.84</v>
      </c>
      <c r="AQ64" s="2">
        <f t="shared" si="35"/>
        <v>999316.64</v>
      </c>
      <c r="AR64">
        <f t="shared" si="36"/>
        <v>999316.64</v>
      </c>
      <c r="AT64" s="2">
        <f t="shared" si="37"/>
        <v>999231.08</v>
      </c>
      <c r="AU64">
        <f t="shared" si="38"/>
        <v>999231.08</v>
      </c>
      <c r="AV64" s="2">
        <f t="shared" si="39"/>
        <v>999206.12</v>
      </c>
      <c r="AW64">
        <f t="shared" si="40"/>
        <v>999206.12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999471.88</v>
      </c>
      <c r="AN65">
        <f t="shared" si="42"/>
        <v>999471.88</v>
      </c>
      <c r="AO65" s="2">
        <f t="shared" si="33"/>
        <v>999324.84</v>
      </c>
      <c r="AP65">
        <f t="shared" si="34"/>
        <v>999324.84</v>
      </c>
      <c r="AQ65" s="2">
        <f t="shared" si="35"/>
        <v>999316.64</v>
      </c>
      <c r="AR65">
        <f t="shared" si="36"/>
        <v>999316.64</v>
      </c>
      <c r="AT65" s="2">
        <f t="shared" si="37"/>
        <v>999231.08</v>
      </c>
      <c r="AU65">
        <f t="shared" si="38"/>
        <v>999231.08</v>
      </c>
      <c r="AV65" s="2">
        <f t="shared" si="39"/>
        <v>999206.12</v>
      </c>
      <c r="AW65">
        <f t="shared" si="40"/>
        <v>999206.12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999471.88</v>
      </c>
      <c r="AN66">
        <f t="shared" si="42"/>
        <v>999471.88</v>
      </c>
      <c r="AO66" s="2">
        <f t="shared" si="33"/>
        <v>999324.84</v>
      </c>
      <c r="AP66">
        <f t="shared" si="34"/>
        <v>999324.84</v>
      </c>
      <c r="AQ66" s="2">
        <f t="shared" si="35"/>
        <v>999316.64</v>
      </c>
      <c r="AR66">
        <f t="shared" si="36"/>
        <v>999316.64</v>
      </c>
      <c r="AT66" s="2">
        <f t="shared" si="37"/>
        <v>999231.08</v>
      </c>
      <c r="AU66">
        <f t="shared" si="38"/>
        <v>999231.08</v>
      </c>
      <c r="AV66" s="2">
        <f t="shared" si="39"/>
        <v>999206.12</v>
      </c>
      <c r="AW66">
        <f t="shared" si="40"/>
        <v>999206.12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999471.88</v>
      </c>
      <c r="AN67">
        <f t="shared" si="42"/>
        <v>999471.88</v>
      </c>
      <c r="AO67" s="2">
        <f t="shared" si="33"/>
        <v>999324.84</v>
      </c>
      <c r="AP67">
        <f t="shared" si="34"/>
        <v>999324.84</v>
      </c>
      <c r="AQ67" s="2">
        <f t="shared" si="35"/>
        <v>999316.64</v>
      </c>
      <c r="AR67">
        <f t="shared" si="36"/>
        <v>999316.64</v>
      </c>
      <c r="AT67" s="2">
        <f t="shared" si="37"/>
        <v>999231.08</v>
      </c>
      <c r="AU67">
        <f t="shared" si="38"/>
        <v>999231.08</v>
      </c>
      <c r="AV67" s="2">
        <f t="shared" si="39"/>
        <v>999206.12</v>
      </c>
      <c r="AW67">
        <f t="shared" si="40"/>
        <v>999206.12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225</v>
      </c>
      <c r="BI69" s="5">
        <f>BG26</f>
        <v>0</v>
      </c>
      <c r="BJ69" s="5">
        <f>CE28</f>
        <v>1</v>
      </c>
      <c r="BK69" s="5">
        <f>BI69+BJ69</f>
        <v>1</v>
      </c>
      <c r="BW69" s="5">
        <f>SUM(BW49:BW68)</f>
        <v>528.12</v>
      </c>
    </row>
    <row r="70" spans="36:75" x14ac:dyDescent="0.25">
      <c r="BK70" s="5">
        <f>BG27+CE29</f>
        <v>528.12</v>
      </c>
    </row>
    <row r="82" spans="41:46" x14ac:dyDescent="0.25">
      <c r="AO82" s="5">
        <f>IF(AO20&lt;&gt;0,1,0)</f>
        <v>1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1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239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J11</f>
        <v>0</v>
      </c>
      <c r="DF211" s="233">
        <f>K11</f>
        <v>1000.88</v>
      </c>
    </row>
    <row r="212" spans="105:110" ht="15.5" x14ac:dyDescent="0.35">
      <c r="DA212" s="232" t="str">
        <f t="shared" ref="DA212:DA230" si="53">IF(A12="Elected","E",IF(A12="Excluded","Excluded",""))&amp;IF(B12&gt;0,B12,"")</f>
        <v/>
      </c>
      <c r="DB212" s="232" t="str">
        <f t="shared" ref="DB212:DD227" si="54">C12</f>
        <v>CARLIN</v>
      </c>
      <c r="DC212" s="232" t="str">
        <f t="shared" si="54"/>
        <v>Sinn Féin</v>
      </c>
      <c r="DD212" s="233">
        <f t="shared" si="54"/>
        <v>1204</v>
      </c>
      <c r="DE212" s="233">
        <f t="shared" ref="DE212:DF212" si="55">J12</f>
        <v>1</v>
      </c>
      <c r="DF212" s="233">
        <f t="shared" si="55"/>
        <v>1214.24</v>
      </c>
    </row>
    <row r="213" spans="105:110" ht="15.5" x14ac:dyDescent="0.35">
      <c r="DA213" s="232" t="str">
        <f t="shared" si="53"/>
        <v/>
      </c>
      <c r="DB213" s="232" t="str">
        <f t="shared" si="54"/>
        <v>EATON</v>
      </c>
      <c r="DC213" s="232" t="str">
        <f t="shared" si="54"/>
        <v>Alliance Party</v>
      </c>
      <c r="DD213" s="233">
        <f t="shared" si="54"/>
        <v>1116</v>
      </c>
      <c r="DE213" s="233">
        <f t="shared" ref="DE213:DF213" si="56">J13</f>
        <v>3</v>
      </c>
      <c r="DF213" s="233">
        <f t="shared" si="56"/>
        <v>1186.1600000000001</v>
      </c>
    </row>
    <row r="214" spans="105:110" ht="15.5" x14ac:dyDescent="0.35">
      <c r="DA214" s="232" t="str">
        <f t="shared" si="53"/>
        <v/>
      </c>
      <c r="DB214" s="232" t="str">
        <f t="shared" si="54"/>
        <v>GALLEN</v>
      </c>
      <c r="DC214" s="232" t="str">
        <f t="shared" si="54"/>
        <v>SDLP</v>
      </c>
      <c r="DD214" s="233">
        <f t="shared" si="54"/>
        <v>1035</v>
      </c>
      <c r="DE214" s="233">
        <f t="shared" ref="DE214:DF214" si="57">J14</f>
        <v>2</v>
      </c>
      <c r="DF214" s="233">
        <f t="shared" si="57"/>
        <v>1044.08</v>
      </c>
    </row>
    <row r="215" spans="105:110" ht="15.5" x14ac:dyDescent="0.35">
      <c r="DA215" s="232" t="str">
        <f t="shared" si="53"/>
        <v>E</v>
      </c>
      <c r="DB215" s="232" t="str">
        <f t="shared" si="54"/>
        <v>GUY</v>
      </c>
      <c r="DC215" s="232" t="str">
        <f t="shared" si="54"/>
        <v>Alliance Party</v>
      </c>
      <c r="DD215" s="233">
        <f t="shared" si="54"/>
        <v>1452</v>
      </c>
      <c r="DE215" s="233">
        <f t="shared" ref="DE215:DF215" si="58">J15</f>
        <v>0</v>
      </c>
      <c r="DF215" s="233">
        <f t="shared" si="58"/>
        <v>1274</v>
      </c>
    </row>
    <row r="216" spans="105:110" ht="15.5" x14ac:dyDescent="0.35">
      <c r="DA216" s="232" t="str">
        <f t="shared" si="53"/>
        <v/>
      </c>
      <c r="DB216" s="232" t="str">
        <f t="shared" si="54"/>
        <v>HAMLEY</v>
      </c>
      <c r="DC216" s="232" t="str">
        <f t="shared" si="54"/>
        <v>Green Party NI</v>
      </c>
      <c r="DD216" s="233">
        <f t="shared" si="54"/>
        <v>656</v>
      </c>
      <c r="DE216" s="233">
        <f t="shared" ref="DE216:DF216" si="59">J16</f>
        <v>0</v>
      </c>
      <c r="DF216" s="233">
        <f t="shared" si="59"/>
        <v>675.16</v>
      </c>
    </row>
    <row r="217" spans="105:110" ht="15.5" x14ac:dyDescent="0.35">
      <c r="DA217" s="232" t="str">
        <f t="shared" si="53"/>
        <v/>
      </c>
      <c r="DB217" s="232" t="str">
        <f t="shared" si="54"/>
        <v>HENDERSON</v>
      </c>
      <c r="DC217" s="232" t="str">
        <f t="shared" si="54"/>
        <v>UUP</v>
      </c>
      <c r="DD217" s="233">
        <f t="shared" si="54"/>
        <v>760</v>
      </c>
      <c r="DE217" s="233">
        <f t="shared" ref="DE217:DF217" si="60">J17</f>
        <v>18</v>
      </c>
      <c r="DF217" s="233">
        <f t="shared" si="60"/>
        <v>786.92</v>
      </c>
    </row>
    <row r="218" spans="105:110" ht="15.5" x14ac:dyDescent="0.35">
      <c r="DA218" s="232" t="str">
        <f t="shared" si="53"/>
        <v>E</v>
      </c>
      <c r="DB218" s="232" t="str">
        <f t="shared" si="54"/>
        <v>HIGGINSON</v>
      </c>
      <c r="DC218" s="232" t="str">
        <f t="shared" si="54"/>
        <v>D.U.P.</v>
      </c>
      <c r="DD218" s="233">
        <f t="shared" si="54"/>
        <v>1006</v>
      </c>
      <c r="DE218" s="233">
        <f t="shared" ref="DE218:DF218" si="61">J18</f>
        <v>498.12</v>
      </c>
      <c r="DF218" s="233">
        <f t="shared" si="61"/>
        <v>1507.72</v>
      </c>
    </row>
    <row r="219" spans="105:110" ht="15.5" x14ac:dyDescent="0.35">
      <c r="DA219" s="232" t="str">
        <f t="shared" si="53"/>
        <v/>
      </c>
      <c r="DB219" s="232" t="str">
        <f t="shared" si="54"/>
        <v>LEE</v>
      </c>
      <c r="DC219" s="232" t="str">
        <f t="shared" si="54"/>
        <v xml:space="preserve">SDLP </v>
      </c>
      <c r="DD219" s="233">
        <f t="shared" si="54"/>
        <v>656</v>
      </c>
      <c r="DE219" s="233">
        <f t="shared" ref="DE219:DF219" si="62">J19</f>
        <v>3</v>
      </c>
      <c r="DF219" s="233">
        <f t="shared" si="62"/>
        <v>686.36</v>
      </c>
    </row>
    <row r="220" spans="105:110" ht="15.5" x14ac:dyDescent="0.35">
      <c r="DA220" s="232" t="str">
        <f t="shared" si="53"/>
        <v/>
      </c>
      <c r="DB220" s="232" t="str">
        <f t="shared" si="54"/>
        <v>MCKEEVER</v>
      </c>
      <c r="DC220" s="232" t="str">
        <f t="shared" si="54"/>
        <v>Alliance Party</v>
      </c>
      <c r="DD220" s="233">
        <f t="shared" si="54"/>
        <v>727</v>
      </c>
      <c r="DE220" s="233">
        <f t="shared" ref="DE220:DF220" si="63">J20</f>
        <v>2</v>
      </c>
      <c r="DF220" s="233">
        <f t="shared" si="63"/>
        <v>795.88</v>
      </c>
    </row>
    <row r="221" spans="105:110" ht="15.5" x14ac:dyDescent="0.35">
      <c r="DA221" s="232" t="str">
        <f t="shared" si="53"/>
        <v>Excluded</v>
      </c>
      <c r="DB221" s="232" t="str">
        <f t="shared" si="54"/>
        <v>MILLER</v>
      </c>
      <c r="DC221" s="232" t="str">
        <f t="shared" si="54"/>
        <v>Independent</v>
      </c>
      <c r="DD221" s="233">
        <f t="shared" si="54"/>
        <v>49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>Excluded</v>
      </c>
      <c r="DB222" s="232" t="str">
        <f t="shared" si="54"/>
        <v>TRAYNOR</v>
      </c>
      <c r="DC222" s="232" t="str">
        <f t="shared" si="54"/>
        <v>D.U.P.</v>
      </c>
      <c r="DD222" s="233">
        <f t="shared" si="54"/>
        <v>527</v>
      </c>
      <c r="DE222" s="233">
        <f t="shared" ref="DE222:DF222" si="65">J22</f>
        <v>-528.12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127</v>
      </c>
      <c r="DD231" s="234"/>
      <c r="DE231" s="233">
        <f t="shared" ref="DE231:DF231" si="75">J31</f>
        <v>1</v>
      </c>
      <c r="DF231" s="233">
        <f t="shared" si="75"/>
        <v>13.599999999999994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6">K32</f>
        <v>10185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  <mergeCell ref="R8:S8"/>
    <mergeCell ref="AQ9:AR10"/>
    <mergeCell ref="CB2:CE2"/>
    <mergeCell ref="BI3:BK3"/>
    <mergeCell ref="BT3:BZ3"/>
    <mergeCell ref="R7:S7"/>
    <mergeCell ref="R6:S6"/>
    <mergeCell ref="F7:G7"/>
    <mergeCell ref="H7:I7"/>
    <mergeCell ref="L7:M7"/>
    <mergeCell ref="BP5:BP7"/>
    <mergeCell ref="AQ6:AR7"/>
    <mergeCell ref="P7:Q7"/>
    <mergeCell ref="P6:Q6"/>
    <mergeCell ref="N7:O7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K1:L1"/>
    <mergeCell ref="H3:I3"/>
    <mergeCell ref="O4:S4"/>
    <mergeCell ref="O3:S3"/>
    <mergeCell ref="H4:I4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AJ21:AK21"/>
    <mergeCell ref="AO20:AP20"/>
    <mergeCell ref="AO21:AP21"/>
    <mergeCell ref="AO22:AP22"/>
    <mergeCell ref="AO23:AP23"/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</mergeCells>
  <phoneticPr fontId="0" type="noConversion"/>
  <conditionalFormatting sqref="BF30:BG31">
    <cfRule type="cellIs" dxfId="131" priority="1" stopIfTrue="1" operator="equal">
      <formula>"NONE"</formula>
    </cfRule>
    <cfRule type="cellIs" dxfId="130" priority="2" stopIfTrue="1" operator="notEqual">
      <formula>"NONE"</formula>
    </cfRule>
  </conditionalFormatting>
  <conditionalFormatting sqref="BX30">
    <cfRule type="cellIs" dxfId="129" priority="3" stopIfTrue="1" operator="equal">
      <formula>"Calculations OK"</formula>
    </cfRule>
    <cfRule type="cellIs" dxfId="128" priority="4" stopIfTrue="1" operator="equal">
      <formula>"Check Count for Error"</formula>
    </cfRule>
  </conditionalFormatting>
  <conditionalFormatting sqref="V4:W4">
    <cfRule type="cellIs" dxfId="127" priority="5" stopIfTrue="1" operator="equal">
      <formula>"Totals Correct"</formula>
    </cfRule>
    <cfRule type="cellIs" dxfId="126" priority="6" stopIfTrue="1" operator="equal">
      <formula>"ERROR"</formula>
    </cfRule>
  </conditionalFormatting>
  <conditionalFormatting sqref="U4">
    <cfRule type="cellIs" dxfId="125" priority="7" stopIfTrue="1" operator="equal">
      <formula>"OK TO MOVE TO NEXT STAGE"</formula>
    </cfRule>
    <cfRule type="cellIs" dxfId="124" priority="8" stopIfTrue="1" operator="equal">
      <formula>"DO NOT MOVE TO NEXT STAGE"</formula>
    </cfRule>
  </conditionalFormatting>
  <conditionalFormatting sqref="AL3">
    <cfRule type="cellIs" dxfId="123" priority="9" stopIfTrue="1" operator="notEqual">
      <formula>0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F232"/>
  <sheetViews>
    <sheetView showGridLines="0" showZeros="0" topLeftCell="A13" zoomScale="75" workbookViewId="0">
      <selection activeCell="M34" sqref="M3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24.1796875" customWidth="1"/>
    <col min="25" max="25" width="4.453125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453125" customWidth="1"/>
    <col min="45" max="45" width="215.81640625" customWidth="1"/>
    <col min="46" max="46" width="9.26953125" bestFit="1" customWidth="1"/>
    <col min="47" max="47" width="13" bestFit="1" customWidth="1"/>
    <col min="48" max="48" width="9.26953125" bestFit="1" customWidth="1"/>
    <col min="49" max="49" width="13" bestFit="1" customWidth="1"/>
    <col min="50" max="50" width="218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5" max="55" width="9.26953125" bestFit="1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9.26953125" customWidth="1"/>
    <col min="67" max="67" width="10.81640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110</v>
      </c>
      <c r="J1" s="85" t="s">
        <v>37</v>
      </c>
      <c r="K1" s="311">
        <f>'Basic Input'!C2</f>
        <v>45064</v>
      </c>
      <c r="L1" s="311"/>
      <c r="Z1" s="10" t="s">
        <v>240</v>
      </c>
      <c r="AQ1" s="33"/>
      <c r="AZ1" s="10" t="s">
        <v>130</v>
      </c>
      <c r="BE1" s="34" t="str">
        <f>IF(AT5="T","COMPLETE THIS FORM","YOU HAVE NOT SELECTED TO COMPLETE THIS FORM")</f>
        <v>COMPLETE THIS FORM</v>
      </c>
      <c r="BR1" s="10" t="s">
        <v>131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241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233.72000000000003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36" t="s">
        <v>110</v>
      </c>
      <c r="CB2" s="337" t="s">
        <v>135</v>
      </c>
      <c r="CC2" s="338"/>
      <c r="CD2" s="338"/>
      <c r="CE2" s="339"/>
    </row>
    <row r="3" spans="1:105" ht="24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233.72000000000003</v>
      </c>
      <c r="AJ3" s="163"/>
      <c r="AK3" s="163"/>
      <c r="AL3" s="334" t="str">
        <f>IF(AQ5="n","MOVE TO EXCLUDE CANDIDATE FORM",IF(AQ5="y","MOVE TO TRANSFER OF SURPLUS VOTES FORM",0))</f>
        <v>MOVE TO TRANSFER OF SURPLUS VOTES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R3" s="81" t="s">
        <v>137</v>
      </c>
      <c r="BS3" s="82"/>
      <c r="BT3" s="340"/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242</v>
      </c>
      <c r="P4" s="338"/>
      <c r="Q4" s="338"/>
      <c r="R4" s="338"/>
      <c r="S4" s="339"/>
      <c r="U4" s="324" t="str">
        <f>IF(M33="ERROR","DO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243</v>
      </c>
      <c r="AT5" s="7" t="str">
        <f>IF(AQ5=0,0,IF(AQ5="Y","T","E"))</f>
        <v>T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IF(C11=0,0,IF(K11=0,"Excluded",0))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244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Transfer</v>
      </c>
      <c r="AR6" s="308"/>
      <c r="AS6" s="181"/>
      <c r="AT6" s="91"/>
      <c r="AU6" s="91"/>
      <c r="AW6" s="33"/>
      <c r="AX6" s="33"/>
      <c r="AZ6" s="36" t="s">
        <v>110</v>
      </c>
      <c r="BA6" s="245"/>
      <c r="BE6" s="61" t="str">
        <f>'Verification of Boxes'!J11</f>
        <v>CARLIN</v>
      </c>
      <c r="BF6" s="64">
        <v>1</v>
      </c>
      <c r="BG6" s="100">
        <f t="shared" si="0"/>
        <v>0.52</v>
      </c>
      <c r="BH6" s="150"/>
      <c r="BI6" s="5">
        <f t="shared" ref="BI6:BI24" si="1">IF(A12&lt;&gt;0,A12,0)</f>
        <v>0</v>
      </c>
      <c r="BJ6" s="5">
        <f t="shared" ref="BJ6:BJ24" si="2">IF(C12=0,0,IF(K12=0,"Excluded",0))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/>
      <c r="BY6" s="122" t="s">
        <v>158</v>
      </c>
      <c r="BZ6" s="65"/>
      <c r="CA6" s="122" t="s">
        <v>158</v>
      </c>
      <c r="CB6" s="65"/>
      <c r="CC6" s="122" t="s">
        <v>158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IF($AT5=0,0,IF($AT5="T",$AZ7,$BR4))</f>
        <v>Transfer</v>
      </c>
      <c r="M7" s="362"/>
      <c r="N7" s="303"/>
      <c r="O7" s="304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>
        <v>5</v>
      </c>
      <c r="BG7" s="100">
        <f t="shared" si="0"/>
        <v>2.6</v>
      </c>
      <c r="BH7" s="150"/>
      <c r="BI7" s="5">
        <f t="shared" si="1"/>
        <v>0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61" t="str">
        <f>'Stage 4'!J8:K8</f>
        <v>TRAYNOR</v>
      </c>
      <c r="K8" s="362"/>
      <c r="L8" s="359" t="str">
        <f>IF($L7="Transfer",$BA8,$BT3)</f>
        <v>HIGGINSON</v>
      </c>
      <c r="M8" s="360"/>
      <c r="N8" s="301"/>
      <c r="O8" s="302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 t="str">
        <f>IF(BE49&lt;&gt;0,BE49,IF(BE50&lt;&gt;0,BE50,IF(BE51&lt;&gt;0,BE51,IF(BE52&lt;&gt;0,BE52,0))))</f>
        <v>HIGGINSON</v>
      </c>
      <c r="BE8" s="61" t="str">
        <f>'Verification of Boxes'!J13</f>
        <v>GALLEN</v>
      </c>
      <c r="BF8" s="64">
        <v>4</v>
      </c>
      <c r="BG8" s="100">
        <f t="shared" si="0"/>
        <v>2.08</v>
      </c>
      <c r="BH8" s="150"/>
      <c r="BI8" s="5">
        <f t="shared" si="1"/>
        <v>0</v>
      </c>
      <c r="BJ8" s="5">
        <f t="shared" si="2"/>
        <v>0</v>
      </c>
      <c r="BM8" s="3"/>
      <c r="BN8" s="5">
        <f>IF(A11&lt;&gt;0,A11,0)</f>
        <v>0</v>
      </c>
      <c r="BO8" s="7">
        <f t="shared" ref="BO8:BO27" si="3">IF(AA14&gt;=$M$3,"Elected",AA14)</f>
        <v>1000.88</v>
      </c>
      <c r="BP8" s="66"/>
      <c r="BR8" s="9" t="str">
        <f>'Verification of Boxes'!J10</f>
        <v>BASSETT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Transfer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1214.24</v>
      </c>
      <c r="BP9" s="66"/>
      <c r="BR9" s="9" t="str">
        <f>'Verification of Boxes'!J11</f>
        <v>CARLIN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117</v>
      </c>
      <c r="B10" s="16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>
        <v>1507.72</v>
      </c>
      <c r="BE10" s="61" t="str">
        <f>'Verification of Boxes'!J15</f>
        <v>HAMLEY</v>
      </c>
      <c r="BF10" s="64">
        <v>5</v>
      </c>
      <c r="BG10" s="100">
        <f t="shared" si="0"/>
        <v>2.6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1186.1600000000001</v>
      </c>
      <c r="BP10" s="66"/>
      <c r="BR10" s="9" t="str">
        <f>'Verification of Boxes'!J12</f>
        <v>EATON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>IF('Stage 4'!A11&lt;&gt;0,'Stage 4'!A11,IF(M11&gt;=$M$3,"Elected",IF(BP8&lt;&gt;0,"Excluded",0)))</f>
        <v>0</v>
      </c>
      <c r="B11" s="235">
        <f>'Stage 4'!B11</f>
        <v>0</v>
      </c>
      <c r="C11" s="155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 t="shared" ref="L11:L30" si="12">IF($C11&lt;&gt;0,$BK49,0)</f>
        <v>0</v>
      </c>
      <c r="M11" s="27">
        <f t="shared" ref="M11:M31" si="13">IF(L$8=0,0,K11+L11)</f>
        <v>1000.88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>
        <v>413</v>
      </c>
      <c r="BG11" s="100">
        <f t="shared" si="0"/>
        <v>214.76000000000002</v>
      </c>
      <c r="BH11" s="150"/>
      <c r="BI11" s="5">
        <f t="shared" si="1"/>
        <v>0</v>
      </c>
      <c r="BJ11" s="5">
        <f t="shared" si="2"/>
        <v>0</v>
      </c>
      <c r="BM11" s="3"/>
      <c r="BN11" s="5">
        <f t="shared" si="11"/>
        <v>0</v>
      </c>
      <c r="BO11" s="7">
        <f t="shared" si="3"/>
        <v>1044.08</v>
      </c>
      <c r="BP11" s="66"/>
      <c r="BR11" s="9" t="str">
        <f>'Verification of Boxes'!J13</f>
        <v>GALLEN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4'!A12&lt;&gt;0,'Stage 4'!A12,IF(M12&gt;=$M$3,"Elected",IF(BP9&lt;&gt;0,"Excluded",0)))</f>
        <v>0</v>
      </c>
      <c r="B12" s="235">
        <f>'Stage 4'!B12</f>
        <v>0</v>
      </c>
      <c r="C12" s="119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 t="shared" si="12"/>
        <v>0.52</v>
      </c>
      <c r="M12" s="27">
        <f t="shared" si="13"/>
        <v>1214.76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171</v>
      </c>
      <c r="BA12" s="3" t="s">
        <v>172</v>
      </c>
      <c r="BB12" s="3"/>
      <c r="BC12" s="50">
        <f>AG3</f>
        <v>233.72000000000003</v>
      </c>
      <c r="BE12" s="61" t="str">
        <f>'Verification of Boxes'!J17</f>
        <v>HIGGINSON</v>
      </c>
      <c r="BF12" s="64">
        <v>0</v>
      </c>
      <c r="BG12" s="100">
        <f t="shared" si="0"/>
        <v>0</v>
      </c>
      <c r="BH12" s="150" t="s">
        <v>187</v>
      </c>
      <c r="BI12" s="5" t="str">
        <f t="shared" si="1"/>
        <v>Elected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4'!A13&lt;&gt;0,'Stage 4'!A13,IF(M13&gt;=$M$3,"Elected",IF(BP10&lt;&gt;0,"Excluded",0)))</f>
        <v>0</v>
      </c>
      <c r="B13" s="235">
        <f>'Stage 4'!B13</f>
        <v>0</v>
      </c>
      <c r="C13" s="119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 t="shared" si="12"/>
        <v>2.6</v>
      </c>
      <c r="M13" s="27">
        <f t="shared" si="13"/>
        <v>1188.76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>
        <v>498.12</v>
      </c>
      <c r="BE13" s="61" t="str">
        <f>'Verification of Boxes'!J18</f>
        <v>LEE</v>
      </c>
      <c r="BF13" s="64">
        <v>4</v>
      </c>
      <c r="BG13" s="100">
        <f t="shared" si="0"/>
        <v>2.08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675.16</v>
      </c>
      <c r="BP13" s="66"/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4'!A14&lt;&gt;0,'Stage 4'!A14,IF(M14&gt;=$M$3,"Elected",IF(BP11&lt;&gt;0,"Excluded",0)))</f>
        <v>0</v>
      </c>
      <c r="B14" s="235">
        <f>'Stage 4'!B14</f>
        <v>0</v>
      </c>
      <c r="C14" s="119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 t="shared" si="12"/>
        <v>2.08</v>
      </c>
      <c r="M14" s="27">
        <f t="shared" si="13"/>
        <v>1046.1599999999999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BASSETT</v>
      </c>
      <c r="AA14" s="93">
        <f>K11</f>
        <v>1000.88</v>
      </c>
      <c r="AB14" s="88"/>
      <c r="AC14" s="99">
        <f t="shared" ref="AC14:AC33" si="19">IF(AA14&gt;0,AA14-AG$4,0)</f>
        <v>-273.12</v>
      </c>
      <c r="AD14" s="123"/>
      <c r="AE14" s="88" t="str">
        <f>IF(Z14=0,0,IF(AA14&gt;=AG$4,"elected",IF(AA14=0,"excluded","continuing")))</f>
        <v>continuing</v>
      </c>
      <c r="AF14" s="88">
        <f t="shared" ref="AF14:AF33" si="20">IF(AE14="elected",AC14,0)</f>
        <v>0</v>
      </c>
      <c r="AG14" s="94">
        <f t="shared" ref="AG14:AG33" si="21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>
        <v>1</v>
      </c>
      <c r="BE14" s="61" t="str">
        <f>'Verification of Boxes'!J19</f>
        <v>MCKEEVER</v>
      </c>
      <c r="BF14" s="64">
        <v>12</v>
      </c>
      <c r="BG14" s="100">
        <f t="shared" si="0"/>
        <v>6.24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786.92</v>
      </c>
      <c r="BP14" s="66"/>
      <c r="BR14" s="9" t="str">
        <f>'Verification of Boxes'!J16</f>
        <v>HENDERSON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Elected</v>
      </c>
      <c r="B15" s="235">
        <f>'Stage 4'!B15</f>
        <v>0</v>
      </c>
      <c r="C15" s="119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 t="shared" si="12"/>
        <v>0</v>
      </c>
      <c r="M15" s="27">
        <f t="shared" si="13"/>
        <v>1274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CARLIN</v>
      </c>
      <c r="AA15" s="37">
        <f>K12</f>
        <v>1214.24</v>
      </c>
      <c r="AB15" s="5"/>
      <c r="AC15" s="100">
        <f t="shared" si="19"/>
        <v>-59.759999999999991</v>
      </c>
      <c r="AD15" s="110"/>
      <c r="AE15" s="5" t="str">
        <f t="shared" ref="AE15:AE33" si="22">IF(Z15=0,0,IF(AA15&gt;=AG$4,"elected",IF(AA15=0,"excluded","continuing")))</f>
        <v>continuing</v>
      </c>
      <c r="AF15" s="5">
        <f t="shared" si="20"/>
        <v>0</v>
      </c>
      <c r="AG15" s="96">
        <f t="shared" si="21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4'!A16&lt;&gt;0,'Stage 4'!A16,IF(M16&gt;=$M$3,"Elected",IF(BP13&lt;&gt;0,"Excluded",0)))</f>
        <v>0</v>
      </c>
      <c r="B16" s="235">
        <f>'Stage 4'!B16</f>
        <v>0</v>
      </c>
      <c r="C16" s="119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 t="shared" si="12"/>
        <v>2.6</v>
      </c>
      <c r="M16" s="27">
        <f t="shared" si="13"/>
        <v>677.76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EATON</v>
      </c>
      <c r="AA16" s="37">
        <f t="shared" ref="AA16:AA33" si="23">K13</f>
        <v>1186.1600000000001</v>
      </c>
      <c r="AB16" s="5"/>
      <c r="AC16" s="100">
        <f t="shared" si="19"/>
        <v>-87.839999999999918</v>
      </c>
      <c r="AD16" s="110"/>
      <c r="AE16" s="5" t="str">
        <f t="shared" si="22"/>
        <v>continuing</v>
      </c>
      <c r="AF16" s="5">
        <f t="shared" si="20"/>
        <v>0</v>
      </c>
      <c r="AG16" s="96">
        <f t="shared" si="21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>
        <v>0</v>
      </c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M16" s="3"/>
      <c r="BN16" s="5">
        <f t="shared" si="11"/>
        <v>0</v>
      </c>
      <c r="BO16" s="7">
        <f t="shared" si="3"/>
        <v>686.36</v>
      </c>
      <c r="BP16" s="66"/>
      <c r="BR16" s="9" t="str">
        <f>'Verification of Boxes'!J18</f>
        <v>LEE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>IF('Stage 4'!A17&lt;&gt;0,'Stage 4'!A17,IF(M17&gt;=$M$3,"Elected",IF(BP14&lt;&gt;0,"Excluded",0)))</f>
        <v>0</v>
      </c>
      <c r="B17" s="235">
        <f>'Stage 4'!B17</f>
        <v>0</v>
      </c>
      <c r="C17" s="119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 t="shared" si="12"/>
        <v>214.76000000000002</v>
      </c>
      <c r="M17" s="27">
        <f t="shared" si="13"/>
        <v>1001.68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GALLEN</v>
      </c>
      <c r="AA17" s="37">
        <f t="shared" si="23"/>
        <v>1044.08</v>
      </c>
      <c r="AB17" s="5"/>
      <c r="AC17" s="100">
        <f t="shared" si="19"/>
        <v>-229.92000000000007</v>
      </c>
      <c r="AD17" s="110"/>
      <c r="AE17" s="5" t="str">
        <f t="shared" si="22"/>
        <v>continuing</v>
      </c>
      <c r="AF17" s="5">
        <f t="shared" si="20"/>
        <v>0</v>
      </c>
      <c r="AG17" s="96">
        <f t="shared" si="21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795.88</v>
      </c>
      <c r="BP17" s="66"/>
      <c r="BR17" s="9" t="str">
        <f>'Verification of Boxes'!J19</f>
        <v>MCKEEVER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 t="str">
        <f>IF('Stage 4'!A18&lt;&gt;0,'Stage 4'!A18,IF(M18&gt;=$M$3,"Elected",IF(BP15&lt;&gt;0,"Excluded",0)))</f>
        <v>Elected</v>
      </c>
      <c r="B18" s="235">
        <f>'Stage 4'!B18</f>
        <v>0</v>
      </c>
      <c r="C18" s="119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 t="shared" si="12"/>
        <v>-233.72000000000003</v>
      </c>
      <c r="M18" s="27">
        <f t="shared" si="13"/>
        <v>1274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GUY</v>
      </c>
      <c r="AA18" s="37">
        <f t="shared" si="23"/>
        <v>1274</v>
      </c>
      <c r="AB18" s="5"/>
      <c r="AC18" s="100">
        <f t="shared" si="19"/>
        <v>0</v>
      </c>
      <c r="AD18" s="110"/>
      <c r="AE18" s="5" t="str">
        <f t="shared" si="22"/>
        <v>elected</v>
      </c>
      <c r="AF18" s="5">
        <f t="shared" si="20"/>
        <v>0</v>
      </c>
      <c r="AG18" s="96">
        <f t="shared" si="21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444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4'!A19&lt;&gt;0,'Stage 4'!A19,IF(M19&gt;=$M$3,"Elected",IF(BP16&lt;&gt;0,"Excluded",0)))</f>
        <v>0</v>
      </c>
      <c r="B19" s="235">
        <f>'Stage 4'!B19</f>
        <v>0</v>
      </c>
      <c r="C19" s="119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 t="shared" si="12"/>
        <v>2.08</v>
      </c>
      <c r="M19" s="27">
        <f t="shared" si="13"/>
        <v>688.44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HAMLEY</v>
      </c>
      <c r="AA19" s="37">
        <f t="shared" si="23"/>
        <v>675.16</v>
      </c>
      <c r="AB19" s="5"/>
      <c r="AC19" s="100">
        <f t="shared" si="19"/>
        <v>-598.84</v>
      </c>
      <c r="AD19" s="110"/>
      <c r="AE19" s="5" t="str">
        <f t="shared" si="22"/>
        <v>continuing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444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 t="shared" si="12"/>
        <v>6.24</v>
      </c>
      <c r="M20" s="27">
        <f t="shared" si="13"/>
        <v>802.12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HENDERSON</v>
      </c>
      <c r="AA20" s="37">
        <f t="shared" si="23"/>
        <v>786.92</v>
      </c>
      <c r="AB20" s="5"/>
      <c r="AC20" s="100">
        <f t="shared" si="19"/>
        <v>-487.08000000000004</v>
      </c>
      <c r="AD20" s="110"/>
      <c r="AE20" s="5" t="str">
        <f t="shared" si="22"/>
        <v>continuing</v>
      </c>
      <c r="AF20" s="5">
        <f t="shared" si="20"/>
        <v>0</v>
      </c>
      <c r="AG20" s="96">
        <f t="shared" si="21"/>
        <v>0</v>
      </c>
      <c r="AJ20" s="344" t="s">
        <v>190</v>
      </c>
      <c r="AK20" s="345"/>
      <c r="AL20" s="142">
        <f>AL46</f>
        <v>675.16</v>
      </c>
      <c r="AM20" s="118"/>
      <c r="AN20" s="142">
        <f>AL20+AG2</f>
        <v>908.88</v>
      </c>
      <c r="AO20" s="348">
        <f>IF(AN20&gt;AG4,0,IF(AN20&lt;AL21,"Exclude lowest candidate",0))</f>
        <v>0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4'!A21&lt;&gt;0,'Stage 4'!A21,IF(M21&gt;=$M$3,"Elected",IF(BP18&lt;&gt;0,"Excluded",0)))</f>
        <v>Excluded</v>
      </c>
      <c r="B21" s="235">
        <f>'Stage 4'!B21</f>
        <v>0</v>
      </c>
      <c r="C21" s="119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HIGGINSON</v>
      </c>
      <c r="AA21" s="37">
        <f t="shared" si="23"/>
        <v>1507.72</v>
      </c>
      <c r="AB21" s="5"/>
      <c r="AC21" s="100">
        <f t="shared" si="19"/>
        <v>233.72000000000003</v>
      </c>
      <c r="AD21" s="110"/>
      <c r="AE21" s="5" t="str">
        <f t="shared" si="22"/>
        <v>elected</v>
      </c>
      <c r="AF21" s="5">
        <f t="shared" si="20"/>
        <v>233.72000000000003</v>
      </c>
      <c r="AG21" s="96" t="str">
        <f t="shared" si="21"/>
        <v>transfer largest surplus</v>
      </c>
      <c r="AJ21" s="327" t="s">
        <v>191</v>
      </c>
      <c r="AK21" s="275"/>
      <c r="AL21" s="37">
        <f>IF(AL20=1000000,0,AN46)</f>
        <v>686.36</v>
      </c>
      <c r="AM21" s="5">
        <f>AL21-AL20</f>
        <v>11.200000000000045</v>
      </c>
      <c r="AN21" s="5">
        <f>IF(AL21=1000000,0,IF(AN20=0,0,AN20+AL21))</f>
        <v>1595.24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4'!A22&lt;&gt;0,'Stage 4'!A22,IF(M22&gt;=$M$3,"Elected",IF(BP19&lt;&gt;0,"Excluded",0)))</f>
        <v>Excluded</v>
      </c>
      <c r="B22" s="235">
        <f>'Stage 4'!B22</f>
        <v>0</v>
      </c>
      <c r="C22" s="119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 t="str">
        <f>'Verification of Boxes'!J18</f>
        <v>LEE</v>
      </c>
      <c r="AA22" s="37">
        <f t="shared" si="23"/>
        <v>686.36</v>
      </c>
      <c r="AB22" s="5"/>
      <c r="AC22" s="100">
        <f t="shared" si="19"/>
        <v>-587.64</v>
      </c>
      <c r="AD22" s="110"/>
      <c r="AE22" s="5" t="str">
        <f t="shared" si="22"/>
        <v>continuing</v>
      </c>
      <c r="AF22" s="5">
        <f t="shared" si="20"/>
        <v>0</v>
      </c>
      <c r="AG22" s="96">
        <f t="shared" si="21"/>
        <v>0</v>
      </c>
      <c r="AJ22" s="327" t="s">
        <v>191</v>
      </c>
      <c r="AK22" s="275"/>
      <c r="AL22" s="37">
        <f>IF(AL21=1000000,0,AP46)</f>
        <v>786.92</v>
      </c>
      <c r="AM22" s="5">
        <f>IF(AL22=1000000,0,IF(AM21=0,0,AL22-AL21))</f>
        <v>100.55999999999995</v>
      </c>
      <c r="AN22" s="5">
        <f>IF(AL22=1000000,0,IF(AN21=0,0,AN21+AL22))</f>
        <v>2382.16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 t="str">
        <f>'Verification of Boxes'!J19</f>
        <v>MCKEEVER</v>
      </c>
      <c r="AA23" s="37">
        <f t="shared" si="23"/>
        <v>795.88</v>
      </c>
      <c r="AB23" s="5"/>
      <c r="AC23" s="100">
        <f t="shared" si="19"/>
        <v>-478.12</v>
      </c>
      <c r="AD23" s="110"/>
      <c r="AE23" s="5" t="str">
        <f t="shared" si="22"/>
        <v>continuing</v>
      </c>
      <c r="AF23" s="5">
        <f t="shared" si="20"/>
        <v>0</v>
      </c>
      <c r="AG23" s="96">
        <f t="shared" si="21"/>
        <v>0</v>
      </c>
      <c r="AJ23" s="327" t="s">
        <v>191</v>
      </c>
      <c r="AK23" s="275"/>
      <c r="AL23" s="37">
        <f>IF(AL22=1000000,0,AR46)</f>
        <v>795.88</v>
      </c>
      <c r="AM23" s="5">
        <f>IF(AL23=1000000,0,IF(AM22=0,0,AL23-AL22))</f>
        <v>8.9600000000000364</v>
      </c>
      <c r="AN23" s="5">
        <f>IF(AL23=1000000,0,IF(AN22=0,0,AN22+AL23))</f>
        <v>3178.04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0.52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 t="str">
        <f>'Verification of Boxes'!J20</f>
        <v>MILLER</v>
      </c>
      <c r="AA24" s="37">
        <f t="shared" si="23"/>
        <v>0</v>
      </c>
      <c r="AB24" s="5"/>
      <c r="AC24" s="100">
        <f t="shared" si="19"/>
        <v>0</v>
      </c>
      <c r="AD24" s="110"/>
      <c r="AE24" s="5" t="str">
        <f t="shared" si="22"/>
        <v>excluded</v>
      </c>
      <c r="AF24" s="5">
        <f t="shared" si="20"/>
        <v>0</v>
      </c>
      <c r="AG24" s="96">
        <f t="shared" si="21"/>
        <v>0</v>
      </c>
      <c r="AJ24" s="327" t="s">
        <v>191</v>
      </c>
      <c r="AK24" s="275"/>
      <c r="AL24" s="37">
        <f>IF(AR46=1000000,0,AU46)</f>
        <v>1000.88</v>
      </c>
      <c r="AM24" s="5">
        <f>IF(AL24=1000000,0,IF(AM23=0,0,AL24-AL23))</f>
        <v>205</v>
      </c>
      <c r="AN24" s="5">
        <f>IF(AL24=1000000,0,IF(AN23=0,0,AN23+AL24))</f>
        <v>4178.92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230.88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 t="str">
        <f>'Verification of Boxes'!J21</f>
        <v>TRAYNOR</v>
      </c>
      <c r="AA25" s="37">
        <f t="shared" si="23"/>
        <v>0</v>
      </c>
      <c r="AB25" s="5"/>
      <c r="AC25" s="100">
        <f t="shared" si="19"/>
        <v>0</v>
      </c>
      <c r="AD25" s="110"/>
      <c r="AE25" s="5" t="str">
        <f t="shared" si="22"/>
        <v>excluded</v>
      </c>
      <c r="AF25" s="5">
        <f t="shared" si="20"/>
        <v>0</v>
      </c>
      <c r="AG25" s="96">
        <f t="shared" si="21"/>
        <v>0</v>
      </c>
      <c r="AJ25" s="325" t="s">
        <v>191</v>
      </c>
      <c r="AK25" s="326"/>
      <c r="AL25" s="89">
        <f>IF(AL24=1000000,0,AW46)</f>
        <v>1044.08</v>
      </c>
      <c r="AM25" s="90">
        <f>IF(AL25=1000000,0,IF(AM24=0,0,AL25-AL24))</f>
        <v>43.199999999999932</v>
      </c>
      <c r="AN25" s="90">
        <f>IF(AL25=1000000,0,IF(AN24=0,0,AN24+AL25))</f>
        <v>5223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2.8400000000000318</v>
      </c>
      <c r="BE25" s="61" t="s">
        <v>199</v>
      </c>
      <c r="BF25" s="5">
        <f>SUM(BF5:BF24)</f>
        <v>444</v>
      </c>
      <c r="BG25" s="100">
        <f>SUM(BG5:BG24)</f>
        <v>230.88000000000005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0</v>
      </c>
      <c r="AW26" s="118"/>
      <c r="BA26" s="3"/>
      <c r="BB26" s="3"/>
      <c r="BC26" s="2"/>
      <c r="BE26" s="61" t="s">
        <v>200</v>
      </c>
      <c r="BF26" s="64">
        <v>54.12</v>
      </c>
      <c r="BG26" s="100">
        <f>IF(AT5="T",BC25+BC31,0)</f>
        <v>2.8400000000000318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0</v>
      </c>
      <c r="AV27" s="5">
        <f>AU27</f>
        <v>0</v>
      </c>
      <c r="AW27" s="5">
        <f t="shared" ref="AW27:AW32" si="25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498.12</v>
      </c>
      <c r="BG27" s="101">
        <f>SUM(BG25:BG26)</f>
        <v>233.72000000000008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4"/>
        <v>0</v>
      </c>
      <c r="AV28" s="5">
        <f>AV27+AU28</f>
        <v>0</v>
      </c>
      <c r="AW28" s="5">
        <f t="shared" si="25"/>
        <v>0</v>
      </c>
      <c r="BA28" s="3"/>
      <c r="BB28" s="3"/>
      <c r="BC28" s="2"/>
      <c r="BR28" s="19" t="s">
        <v>127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4"/>
        <v>0</v>
      </c>
      <c r="AV29" s="5">
        <f>AV28+AU29</f>
        <v>0</v>
      </c>
      <c r="AW29" s="5">
        <f t="shared" si="25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498.12</v>
      </c>
      <c r="BR29" s="5" t="s">
        <v>206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0</v>
      </c>
      <c r="AW30" s="5">
        <f t="shared" si="25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245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$BK69</f>
        <v>2.8400000000000318</v>
      </c>
      <c r="M31" s="40">
        <f t="shared" si="13"/>
        <v>16.440000000000026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4"/>
        <v>0</v>
      </c>
      <c r="AV31" s="5">
        <f>AV30+AU31</f>
        <v>0</v>
      </c>
      <c r="AW31" s="5">
        <f t="shared" si="25"/>
        <v>0</v>
      </c>
      <c r="AZ31" t="s">
        <v>209</v>
      </c>
      <c r="BA31" s="3" t="s">
        <v>210</v>
      </c>
      <c r="BB31" s="3"/>
      <c r="BC31" s="50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V31" t="s">
        <v>123</v>
      </c>
      <c r="BW31" s="5">
        <f>BT29+BV29+BX29+BZ29+CB29+CD29</f>
        <v>0</v>
      </c>
      <c r="BX31" s="324"/>
      <c r="BY31" s="324"/>
      <c r="BZ31" s="5">
        <f>BW69-BW31</f>
        <v>0</v>
      </c>
      <c r="CB31" s="352" t="s">
        <v>245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49">
        <f>SUM(K11:K31)</f>
        <v>10185</v>
      </c>
      <c r="L32" s="192"/>
      <c r="M32" s="49">
        <f>SUM(M11:M31)</f>
        <v>10185.000000000002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4"/>
        <v>0</v>
      </c>
      <c r="AV32" s="5">
        <f>AV31+AU32</f>
        <v>0</v>
      </c>
      <c r="AW32" s="5">
        <f t="shared" si="25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3">
        <v>0.71875</v>
      </c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233.72000000000003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HAMLEY</v>
      </c>
      <c r="AA44" s="250">
        <v>675.16</v>
      </c>
      <c r="AB44" s="250">
        <v>675.16</v>
      </c>
      <c r="AC44" s="250">
        <f>AC43+AA44</f>
        <v>908.88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LEE</v>
      </c>
      <c r="AA45" s="250">
        <v>686.36</v>
      </c>
      <c r="AB45" s="250">
        <v>686.36</v>
      </c>
      <c r="AC45" s="250">
        <f>AC44+AA45</f>
        <v>1595.24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HENDERSON</v>
      </c>
      <c r="AA46" s="250">
        <v>786.92</v>
      </c>
      <c r="AB46" s="250">
        <v>786.92</v>
      </c>
      <c r="AC46" s="250">
        <f t="shared" ref="AC46:AC63" si="29">AC45+AA46</f>
        <v>2382.16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675.16</v>
      </c>
      <c r="AN46" s="2">
        <f>AN47+AL46</f>
        <v>686.36</v>
      </c>
      <c r="AP46" s="2">
        <f>AP47+AN46</f>
        <v>786.92</v>
      </c>
      <c r="AR46" s="2">
        <f>AR47+AP46</f>
        <v>795.88</v>
      </c>
      <c r="AS46" s="2"/>
      <c r="AU46" s="2">
        <f>AU47+AR46</f>
        <v>1000.88</v>
      </c>
      <c r="AW46" s="2">
        <f>AW47+AU46</f>
        <v>1044.08</v>
      </c>
      <c r="AX46" s="2"/>
      <c r="BG46" t="s">
        <v>218</v>
      </c>
    </row>
    <row r="47" spans="4:75" x14ac:dyDescent="0.25">
      <c r="Z47" s="253" t="str">
        <v>MCKEEVER</v>
      </c>
      <c r="AA47" s="250">
        <v>795.88</v>
      </c>
      <c r="AB47" s="250">
        <v>795.88</v>
      </c>
      <c r="AC47" s="250">
        <f t="shared" si="29"/>
        <v>3178.04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675.16</v>
      </c>
      <c r="AN47" s="2">
        <f>MIN(AN48:AN67)</f>
        <v>11.200000000000045</v>
      </c>
      <c r="AP47" s="2">
        <f>MIN(AP48:AP67)</f>
        <v>100.55999999999995</v>
      </c>
      <c r="AR47" s="2">
        <f>MIN(AR48:AR67)</f>
        <v>8.9600000000000364</v>
      </c>
      <c r="AS47" s="2"/>
      <c r="AU47" s="2">
        <f>MIN(AU48:AU67)</f>
        <v>205</v>
      </c>
      <c r="AW47" s="2">
        <f>MIN(AW48:AW67)</f>
        <v>43.199999999999932</v>
      </c>
      <c r="AX47" s="2"/>
    </row>
    <row r="48" spans="4:75" ht="37.5" x14ac:dyDescent="0.25">
      <c r="Z48" s="253" t="str">
        <v>BASSETT</v>
      </c>
      <c r="AA48" s="250">
        <v>1000.88</v>
      </c>
      <c r="AB48" s="250">
        <v>1000.88</v>
      </c>
      <c r="AC48" s="250">
        <f t="shared" si="29"/>
        <v>4178.92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BASSETT</v>
      </c>
      <c r="AK48" s="2">
        <f t="shared" si="30"/>
        <v>1000.88</v>
      </c>
      <c r="AL48">
        <f>IF(AK48&lt;&gt;0,AK48,1000000)</f>
        <v>1000.88</v>
      </c>
      <c r="AM48" s="2">
        <f t="shared" ref="AM48:AM67" si="31">AL48-AL$47</f>
        <v>325.72000000000003</v>
      </c>
      <c r="AN48">
        <f>IF(AM48&lt;&gt;0,AM48,1000000)</f>
        <v>325.72000000000003</v>
      </c>
      <c r="AO48" s="2">
        <f t="shared" ref="AO48:AO67" si="32">AN48-AN$47</f>
        <v>314.52</v>
      </c>
      <c r="AP48">
        <f t="shared" ref="AP48:AP67" si="33">IF(AO48&lt;&gt;0,AO48,1000000)</f>
        <v>314.52</v>
      </c>
      <c r="AQ48" s="2">
        <f t="shared" ref="AQ48:AQ67" si="34">AP48-AP$47</f>
        <v>213.96000000000004</v>
      </c>
      <c r="AR48">
        <f t="shared" ref="AR48:AR67" si="35">IF(AQ48&lt;&gt;0,AQ48,1000000)</f>
        <v>213.96000000000004</v>
      </c>
      <c r="AT48" s="2">
        <f t="shared" ref="AT48:AT67" si="36">AR48-AR$47</f>
        <v>205</v>
      </c>
      <c r="AU48">
        <f t="shared" ref="AU48:AU67" si="37">IF(AT48&lt;&gt;0,AT48,1000000)</f>
        <v>205</v>
      </c>
      <c r="AV48" s="2">
        <f t="shared" ref="AV48:AV67" si="38">AU48-AU$47</f>
        <v>0</v>
      </c>
      <c r="AW48">
        <f t="shared" ref="AW48:AW67" si="39">IF(AV48&lt;&gt;0,AV48,1000000)</f>
        <v>1000000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GALLEN</v>
      </c>
      <c r="AA49" s="250">
        <v>1044.08</v>
      </c>
      <c r="AB49" s="250">
        <v>1044.08</v>
      </c>
      <c r="AC49" s="250">
        <f t="shared" si="29"/>
        <v>5223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CARLIN</v>
      </c>
      <c r="AK49" s="2">
        <f t="shared" si="30"/>
        <v>1214.24</v>
      </c>
      <c r="AL49">
        <f t="shared" ref="AL49:AL67" si="40">IF(AK49&lt;&gt;0,AK49,1000000)</f>
        <v>1214.24</v>
      </c>
      <c r="AM49" s="2">
        <f t="shared" si="31"/>
        <v>539.08000000000004</v>
      </c>
      <c r="AN49">
        <f t="shared" ref="AN49:AN67" si="41">IF(AM49&lt;&gt;0,AM49,1000000)</f>
        <v>539.08000000000004</v>
      </c>
      <c r="AO49" s="2">
        <f t="shared" si="32"/>
        <v>527.88</v>
      </c>
      <c r="AP49">
        <f t="shared" si="33"/>
        <v>527.88</v>
      </c>
      <c r="AQ49" s="2">
        <f t="shared" si="34"/>
        <v>427.32000000000005</v>
      </c>
      <c r="AR49">
        <f t="shared" si="35"/>
        <v>427.32000000000005</v>
      </c>
      <c r="AT49" s="2">
        <f t="shared" si="36"/>
        <v>418.36</v>
      </c>
      <c r="AU49">
        <f t="shared" si="37"/>
        <v>418.36</v>
      </c>
      <c r="AV49" s="2">
        <f t="shared" si="38"/>
        <v>213.36</v>
      </c>
      <c r="AW49">
        <f t="shared" si="39"/>
        <v>213.36</v>
      </c>
      <c r="BE49" s="5">
        <f>IF($BH5="y",$BE5,IF($BH6="y",$BE6,IF($BH7="y",$BE7,IF($BH8="y",$BE8,IF($BH9="y",$BE9,IF($BH10="y",$BE10,0))))))</f>
        <v>0</v>
      </c>
      <c r="BG49" s="125" t="str">
        <f t="shared" ref="BG49:BG68" si="42">BE5</f>
        <v>BASSETT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EATON</v>
      </c>
      <c r="AA50" s="250">
        <v>1186.1600000000001</v>
      </c>
      <c r="AB50" s="250">
        <v>1186.1600000000001</v>
      </c>
      <c r="AC50" s="250">
        <f t="shared" si="29"/>
        <v>6409.16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EATON</v>
      </c>
      <c r="AK50" s="2">
        <f t="shared" si="30"/>
        <v>1186.1600000000001</v>
      </c>
      <c r="AL50">
        <f t="shared" si="40"/>
        <v>1186.1600000000001</v>
      </c>
      <c r="AM50" s="2">
        <f t="shared" si="31"/>
        <v>511.00000000000011</v>
      </c>
      <c r="AN50">
        <f t="shared" si="41"/>
        <v>511.00000000000011</v>
      </c>
      <c r="AO50" s="2">
        <f t="shared" si="32"/>
        <v>499.80000000000007</v>
      </c>
      <c r="AP50">
        <f t="shared" si="33"/>
        <v>499.80000000000007</v>
      </c>
      <c r="AQ50" s="2">
        <f t="shared" si="34"/>
        <v>399.24000000000012</v>
      </c>
      <c r="AR50">
        <f t="shared" si="35"/>
        <v>399.24000000000012</v>
      </c>
      <c r="AT50" s="2">
        <f t="shared" si="36"/>
        <v>390.28000000000009</v>
      </c>
      <c r="AU50">
        <f t="shared" si="37"/>
        <v>390.28000000000009</v>
      </c>
      <c r="AV50" s="2">
        <f t="shared" si="38"/>
        <v>185.28000000000009</v>
      </c>
      <c r="AW50">
        <f t="shared" si="39"/>
        <v>185.28000000000009</v>
      </c>
      <c r="BE50" s="5" t="str">
        <f>IF($BH11="y",$BE11,IF($BH12="y",$BE12,IF($BH13="y",$BE13,IF($BH14="y",$BE14,IF($BH15="y",$BE15,IF($BH16="y",$BE16,0))))))</f>
        <v>HIGGINSON</v>
      </c>
      <c r="BG50" s="127" t="str">
        <f t="shared" si="42"/>
        <v>CARLIN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0.52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CARLIN</v>
      </c>
      <c r="AA51" s="250">
        <v>1214.24</v>
      </c>
      <c r="AB51" s="250">
        <v>1214.24</v>
      </c>
      <c r="AC51" s="250">
        <f t="shared" si="29"/>
        <v>7623.4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GALLEN</v>
      </c>
      <c r="AK51" s="2">
        <f t="shared" si="30"/>
        <v>1044.08</v>
      </c>
      <c r="AL51">
        <f t="shared" si="40"/>
        <v>1044.08</v>
      </c>
      <c r="AM51" s="2">
        <f t="shared" si="31"/>
        <v>368.91999999999996</v>
      </c>
      <c r="AN51">
        <f t="shared" si="41"/>
        <v>368.91999999999996</v>
      </c>
      <c r="AO51" s="2">
        <f t="shared" si="32"/>
        <v>357.71999999999991</v>
      </c>
      <c r="AP51">
        <f t="shared" si="33"/>
        <v>357.71999999999991</v>
      </c>
      <c r="AQ51" s="2">
        <f t="shared" si="34"/>
        <v>257.15999999999997</v>
      </c>
      <c r="AR51">
        <f t="shared" si="35"/>
        <v>257.15999999999997</v>
      </c>
      <c r="AT51" s="2">
        <f t="shared" si="36"/>
        <v>248.19999999999993</v>
      </c>
      <c r="AU51">
        <f t="shared" si="37"/>
        <v>248.19999999999993</v>
      </c>
      <c r="AV51" s="2">
        <f t="shared" si="38"/>
        <v>43.199999999999932</v>
      </c>
      <c r="AW51">
        <f t="shared" si="39"/>
        <v>43.199999999999932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EATON</v>
      </c>
      <c r="BH51" s="128"/>
      <c r="BI51" s="5">
        <f t="shared" si="43"/>
        <v>0</v>
      </c>
      <c r="BJ51" s="5">
        <f t="shared" si="44"/>
        <v>0</v>
      </c>
      <c r="BK51" s="5">
        <f t="shared" si="45"/>
        <v>2.6</v>
      </c>
      <c r="BN51" s="5">
        <f t="shared" si="46"/>
        <v>0</v>
      </c>
      <c r="BW51" s="5">
        <f t="shared" si="47"/>
        <v>0</v>
      </c>
    </row>
    <row r="52" spans="26:75" x14ac:dyDescent="0.25">
      <c r="Z52" s="253" t="str">
        <v>GUY</v>
      </c>
      <c r="AA52" s="250">
        <v>1274</v>
      </c>
      <c r="AB52" s="250">
        <v>1274</v>
      </c>
      <c r="AC52" s="250">
        <f t="shared" si="29"/>
        <v>8897.4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GUY</v>
      </c>
      <c r="AK52" s="2">
        <f t="shared" si="30"/>
        <v>1274</v>
      </c>
      <c r="AL52">
        <f t="shared" si="40"/>
        <v>1274</v>
      </c>
      <c r="AM52" s="2">
        <f t="shared" si="31"/>
        <v>598.84</v>
      </c>
      <c r="AN52">
        <f t="shared" si="41"/>
        <v>598.84</v>
      </c>
      <c r="AO52" s="2">
        <f t="shared" si="32"/>
        <v>587.64</v>
      </c>
      <c r="AP52">
        <f t="shared" si="33"/>
        <v>587.64</v>
      </c>
      <c r="AQ52" s="2">
        <f t="shared" si="34"/>
        <v>487.08000000000004</v>
      </c>
      <c r="AR52">
        <f t="shared" si="35"/>
        <v>487.08000000000004</v>
      </c>
      <c r="AT52" s="2">
        <f t="shared" si="36"/>
        <v>478.12</v>
      </c>
      <c r="AU52">
        <f t="shared" si="37"/>
        <v>478.12</v>
      </c>
      <c r="AV52" s="2">
        <f t="shared" si="38"/>
        <v>273.12</v>
      </c>
      <c r="AW52">
        <f t="shared" si="39"/>
        <v>273.12</v>
      </c>
      <c r="BE52" s="5">
        <f>IF($BH23="y",$BE23,IF($BH24="y",$BE24,0))</f>
        <v>0</v>
      </c>
      <c r="BG52" s="127" t="str">
        <f t="shared" si="42"/>
        <v>GALLEN</v>
      </c>
      <c r="BH52" s="128"/>
      <c r="BI52" s="5">
        <f t="shared" si="43"/>
        <v>0</v>
      </c>
      <c r="BJ52" s="5">
        <f t="shared" si="44"/>
        <v>0</v>
      </c>
      <c r="BK52" s="5">
        <f t="shared" si="45"/>
        <v>2.08</v>
      </c>
      <c r="BN52" s="5">
        <f t="shared" si="46"/>
        <v>0</v>
      </c>
      <c r="BW52" s="5">
        <f t="shared" si="47"/>
        <v>0</v>
      </c>
    </row>
    <row r="53" spans="26:75" x14ac:dyDescent="0.25">
      <c r="Z53" s="253" t="str">
        <v>HIGGINSON</v>
      </c>
      <c r="AA53" s="250">
        <v>1507.72</v>
      </c>
      <c r="AB53" s="250">
        <v>1507.72</v>
      </c>
      <c r="AC53" s="250">
        <f t="shared" si="29"/>
        <v>10405.119999999999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HAMLEY</v>
      </c>
      <c r="AK53" s="2">
        <f t="shared" si="30"/>
        <v>675.16</v>
      </c>
      <c r="AL53">
        <f t="shared" si="40"/>
        <v>675.16</v>
      </c>
      <c r="AM53" s="2">
        <f t="shared" si="31"/>
        <v>0</v>
      </c>
      <c r="AN53">
        <f t="shared" si="41"/>
        <v>1000000</v>
      </c>
      <c r="AO53" s="2">
        <f t="shared" si="32"/>
        <v>999988.8</v>
      </c>
      <c r="AP53">
        <f t="shared" si="33"/>
        <v>999988.8</v>
      </c>
      <c r="AQ53" s="2">
        <f t="shared" si="34"/>
        <v>999888.24</v>
      </c>
      <c r="AR53">
        <f t="shared" si="35"/>
        <v>999888.24</v>
      </c>
      <c r="AT53" s="2">
        <f t="shared" si="36"/>
        <v>999879.28</v>
      </c>
      <c r="AU53">
        <f t="shared" si="37"/>
        <v>999879.28</v>
      </c>
      <c r="AV53" s="2">
        <f t="shared" si="38"/>
        <v>999674.28</v>
      </c>
      <c r="AW53">
        <f t="shared" si="39"/>
        <v>999674.28</v>
      </c>
      <c r="BG53" s="127" t="str">
        <f t="shared" si="42"/>
        <v>GUY</v>
      </c>
      <c r="BH53" s="128"/>
      <c r="BI53" s="5">
        <f t="shared" si="43"/>
        <v>0</v>
      </c>
      <c r="BJ53" s="5">
        <f t="shared" si="44"/>
        <v>0</v>
      </c>
      <c r="BK53" s="5">
        <f t="shared" si="45"/>
        <v>0</v>
      </c>
      <c r="BN53" s="5">
        <f t="shared" si="46"/>
        <v>0</v>
      </c>
      <c r="BW53" s="5">
        <f t="shared" si="47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9"/>
        <v>10405.119999999999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HENDERSON</v>
      </c>
      <c r="AK54" s="2">
        <f t="shared" si="30"/>
        <v>786.92</v>
      </c>
      <c r="AL54">
        <f t="shared" si="40"/>
        <v>786.92</v>
      </c>
      <c r="AM54" s="2">
        <f t="shared" si="31"/>
        <v>111.75999999999999</v>
      </c>
      <c r="AN54">
        <f t="shared" si="41"/>
        <v>111.75999999999999</v>
      </c>
      <c r="AO54" s="2">
        <f t="shared" si="32"/>
        <v>100.55999999999995</v>
      </c>
      <c r="AP54">
        <f t="shared" si="33"/>
        <v>100.55999999999995</v>
      </c>
      <c r="AQ54" s="2">
        <f t="shared" si="34"/>
        <v>0</v>
      </c>
      <c r="AR54">
        <f t="shared" si="35"/>
        <v>1000000</v>
      </c>
      <c r="AT54" s="2">
        <f t="shared" si="36"/>
        <v>999991.04</v>
      </c>
      <c r="AU54">
        <f t="shared" si="37"/>
        <v>999991.04</v>
      </c>
      <c r="AV54" s="2">
        <f t="shared" si="38"/>
        <v>999786.04</v>
      </c>
      <c r="AW54">
        <f t="shared" si="39"/>
        <v>999786.04</v>
      </c>
      <c r="BG54" s="127" t="str">
        <f t="shared" si="42"/>
        <v>HAMLEY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2.6</v>
      </c>
      <c r="BN54" s="5">
        <f t="shared" si="46"/>
        <v>0</v>
      </c>
      <c r="BW54" s="5">
        <f t="shared" si="47"/>
        <v>0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9"/>
        <v>10405.119999999999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HIGGINSON</v>
      </c>
      <c r="AK55" s="2">
        <f t="shared" si="30"/>
        <v>1507.72</v>
      </c>
      <c r="AL55">
        <f t="shared" si="40"/>
        <v>1507.72</v>
      </c>
      <c r="AM55" s="2">
        <f t="shared" si="31"/>
        <v>832.56000000000006</v>
      </c>
      <c r="AN55">
        <f t="shared" si="41"/>
        <v>832.56000000000006</v>
      </c>
      <c r="AO55" s="2">
        <f t="shared" si="32"/>
        <v>821.36</v>
      </c>
      <c r="AP55">
        <f t="shared" si="33"/>
        <v>821.36</v>
      </c>
      <c r="AQ55" s="2">
        <f t="shared" si="34"/>
        <v>720.80000000000007</v>
      </c>
      <c r="AR55">
        <f t="shared" si="35"/>
        <v>720.80000000000007</v>
      </c>
      <c r="AT55" s="2">
        <f t="shared" si="36"/>
        <v>711.84</v>
      </c>
      <c r="AU55">
        <f t="shared" si="37"/>
        <v>711.84</v>
      </c>
      <c r="AV55" s="2">
        <f t="shared" si="38"/>
        <v>506.84000000000003</v>
      </c>
      <c r="AW55">
        <f t="shared" si="39"/>
        <v>506.84000000000003</v>
      </c>
      <c r="BG55" s="127" t="str">
        <f t="shared" si="42"/>
        <v>HENDERSON</v>
      </c>
      <c r="BH55" s="128"/>
      <c r="BI55" s="5">
        <f t="shared" si="43"/>
        <v>0</v>
      </c>
      <c r="BJ55" s="5">
        <f t="shared" si="44"/>
        <v>0</v>
      </c>
      <c r="BK55" s="5">
        <f t="shared" si="45"/>
        <v>214.76000000000002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10405.119999999999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0"/>
        <v>LEE</v>
      </c>
      <c r="AK56" s="2">
        <f t="shared" si="30"/>
        <v>686.36</v>
      </c>
      <c r="AL56">
        <f t="shared" si="40"/>
        <v>686.36</v>
      </c>
      <c r="AM56" s="2">
        <f t="shared" si="31"/>
        <v>11.200000000000045</v>
      </c>
      <c r="AN56">
        <f t="shared" si="41"/>
        <v>11.200000000000045</v>
      </c>
      <c r="AO56" s="2">
        <f t="shared" si="32"/>
        <v>0</v>
      </c>
      <c r="AP56">
        <f t="shared" si="33"/>
        <v>1000000</v>
      </c>
      <c r="AQ56" s="2">
        <f t="shared" si="34"/>
        <v>999899.44</v>
      </c>
      <c r="AR56">
        <f t="shared" si="35"/>
        <v>999899.44</v>
      </c>
      <c r="AT56" s="2">
        <f t="shared" si="36"/>
        <v>999890.48</v>
      </c>
      <c r="AU56">
        <f t="shared" si="37"/>
        <v>999890.48</v>
      </c>
      <c r="AV56" s="2">
        <f t="shared" si="38"/>
        <v>999685.48</v>
      </c>
      <c r="AW56">
        <f t="shared" si="39"/>
        <v>999685.48</v>
      </c>
      <c r="BG56" s="127" t="str">
        <f t="shared" si="42"/>
        <v>HIGGINSON</v>
      </c>
      <c r="BH56" s="128"/>
      <c r="BI56" s="5">
        <f t="shared" si="43"/>
        <v>-233.72000000000003</v>
      </c>
      <c r="BJ56" s="5">
        <f t="shared" si="44"/>
        <v>0</v>
      </c>
      <c r="BK56" s="5">
        <f t="shared" si="45"/>
        <v>-233.72000000000003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10405.119999999999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0"/>
        <v>MCKEEVER</v>
      </c>
      <c r="AK57" s="2">
        <f t="shared" si="30"/>
        <v>795.88</v>
      </c>
      <c r="AL57">
        <f t="shared" si="40"/>
        <v>795.88</v>
      </c>
      <c r="AM57" s="2">
        <f t="shared" si="31"/>
        <v>120.72000000000003</v>
      </c>
      <c r="AN57">
        <f t="shared" si="41"/>
        <v>120.72000000000003</v>
      </c>
      <c r="AO57" s="2">
        <f t="shared" si="32"/>
        <v>109.51999999999998</v>
      </c>
      <c r="AP57">
        <f t="shared" si="33"/>
        <v>109.51999999999998</v>
      </c>
      <c r="AQ57" s="2">
        <f t="shared" si="34"/>
        <v>8.9600000000000364</v>
      </c>
      <c r="AR57">
        <f t="shared" si="35"/>
        <v>8.9600000000000364</v>
      </c>
      <c r="AT57" s="2">
        <f t="shared" si="36"/>
        <v>0</v>
      </c>
      <c r="AU57">
        <f t="shared" si="37"/>
        <v>1000000</v>
      </c>
      <c r="AV57" s="2">
        <f t="shared" si="38"/>
        <v>999795</v>
      </c>
      <c r="AW57">
        <f t="shared" si="39"/>
        <v>999795</v>
      </c>
      <c r="BG57" s="127" t="str">
        <f t="shared" si="42"/>
        <v>LEE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2.08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10405.119999999999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30"/>
        <v>MILLER</v>
      </c>
      <c r="AK58" s="2">
        <f t="shared" si="30"/>
        <v>0</v>
      </c>
      <c r="AL58">
        <f t="shared" si="40"/>
        <v>1000000</v>
      </c>
      <c r="AM58" s="2">
        <f t="shared" si="31"/>
        <v>999324.84</v>
      </c>
      <c r="AN58">
        <f t="shared" si="41"/>
        <v>999324.84</v>
      </c>
      <c r="AO58" s="2">
        <f t="shared" si="32"/>
        <v>999313.64</v>
      </c>
      <c r="AP58">
        <f t="shared" si="33"/>
        <v>999313.64</v>
      </c>
      <c r="AQ58" s="2">
        <f t="shared" si="34"/>
        <v>999213.08</v>
      </c>
      <c r="AR58">
        <f t="shared" si="35"/>
        <v>999213.08</v>
      </c>
      <c r="AT58" s="2">
        <f t="shared" si="36"/>
        <v>999204.12</v>
      </c>
      <c r="AU58">
        <f t="shared" si="37"/>
        <v>999204.12</v>
      </c>
      <c r="AV58" s="2">
        <f t="shared" si="38"/>
        <v>998999.12</v>
      </c>
      <c r="AW58">
        <f t="shared" si="39"/>
        <v>998999.12</v>
      </c>
      <c r="BG58" s="127" t="str">
        <f t="shared" si="42"/>
        <v>MCKEEVER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6.24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10405.119999999999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30"/>
        <v>TRAYNOR</v>
      </c>
      <c r="AK59" s="2">
        <f t="shared" si="30"/>
        <v>0</v>
      </c>
      <c r="AL59">
        <f t="shared" si="40"/>
        <v>1000000</v>
      </c>
      <c r="AM59" s="2">
        <f t="shared" si="31"/>
        <v>999324.84</v>
      </c>
      <c r="AN59">
        <f t="shared" si="41"/>
        <v>999324.84</v>
      </c>
      <c r="AO59" s="2">
        <f t="shared" si="32"/>
        <v>999313.64</v>
      </c>
      <c r="AP59">
        <f t="shared" si="33"/>
        <v>999313.64</v>
      </c>
      <c r="AQ59" s="2">
        <f t="shared" si="34"/>
        <v>999213.08</v>
      </c>
      <c r="AR59">
        <f t="shared" si="35"/>
        <v>999213.08</v>
      </c>
      <c r="AT59" s="2">
        <f t="shared" si="36"/>
        <v>999204.12</v>
      </c>
      <c r="AU59">
        <f t="shared" si="37"/>
        <v>999204.12</v>
      </c>
      <c r="AV59" s="2">
        <f t="shared" si="38"/>
        <v>998999.12</v>
      </c>
      <c r="AW59">
        <f t="shared" si="39"/>
        <v>998999.12</v>
      </c>
      <c r="BG59" s="127" t="str">
        <f t="shared" si="42"/>
        <v>MILLER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10405.119999999999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999324.84</v>
      </c>
      <c r="AN60">
        <f t="shared" si="41"/>
        <v>999324.84</v>
      </c>
      <c r="AO60" s="2">
        <f t="shared" si="32"/>
        <v>999313.64</v>
      </c>
      <c r="AP60">
        <f t="shared" si="33"/>
        <v>999313.64</v>
      </c>
      <c r="AQ60" s="2">
        <f t="shared" si="34"/>
        <v>999213.08</v>
      </c>
      <c r="AR60">
        <f t="shared" si="35"/>
        <v>999213.08</v>
      </c>
      <c r="AT60" s="2">
        <f t="shared" si="36"/>
        <v>999204.12</v>
      </c>
      <c r="AU60">
        <f t="shared" si="37"/>
        <v>999204.12</v>
      </c>
      <c r="AV60" s="2">
        <f t="shared" si="38"/>
        <v>998999.12</v>
      </c>
      <c r="AW60">
        <f t="shared" si="39"/>
        <v>998999.12</v>
      </c>
      <c r="BG60" s="127" t="str">
        <f t="shared" si="42"/>
        <v>TRAYNOR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10405.119999999999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999324.84</v>
      </c>
      <c r="AN61">
        <f t="shared" si="41"/>
        <v>999324.84</v>
      </c>
      <c r="AO61" s="2">
        <f t="shared" si="32"/>
        <v>999313.64</v>
      </c>
      <c r="AP61">
        <f t="shared" si="33"/>
        <v>999313.64</v>
      </c>
      <c r="AQ61" s="2">
        <f t="shared" si="34"/>
        <v>999213.08</v>
      </c>
      <c r="AR61">
        <f t="shared" si="35"/>
        <v>999213.08</v>
      </c>
      <c r="AT61" s="2">
        <f t="shared" si="36"/>
        <v>999204.12</v>
      </c>
      <c r="AU61">
        <f t="shared" si="37"/>
        <v>999204.12</v>
      </c>
      <c r="AV61" s="2">
        <f t="shared" si="38"/>
        <v>998999.12</v>
      </c>
      <c r="AW61">
        <f t="shared" si="39"/>
        <v>998999.12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10405.119999999999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999324.84</v>
      </c>
      <c r="AN62">
        <f t="shared" si="41"/>
        <v>999324.84</v>
      </c>
      <c r="AO62" s="2">
        <f t="shared" si="32"/>
        <v>999313.64</v>
      </c>
      <c r="AP62">
        <f t="shared" si="33"/>
        <v>999313.64</v>
      </c>
      <c r="AQ62" s="2">
        <f t="shared" si="34"/>
        <v>999213.08</v>
      </c>
      <c r="AR62">
        <f t="shared" si="35"/>
        <v>999213.08</v>
      </c>
      <c r="AT62" s="2">
        <f t="shared" si="36"/>
        <v>999204.12</v>
      </c>
      <c r="AU62">
        <f t="shared" si="37"/>
        <v>999204.12</v>
      </c>
      <c r="AV62" s="2">
        <f t="shared" si="38"/>
        <v>998999.12</v>
      </c>
      <c r="AW62">
        <f t="shared" si="39"/>
        <v>998999.12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10405.119999999999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999324.84</v>
      </c>
      <c r="AN63">
        <f t="shared" si="41"/>
        <v>999324.84</v>
      </c>
      <c r="AO63" s="2">
        <f t="shared" si="32"/>
        <v>999313.64</v>
      </c>
      <c r="AP63">
        <f t="shared" si="33"/>
        <v>999313.64</v>
      </c>
      <c r="AQ63" s="2">
        <f t="shared" si="34"/>
        <v>999213.08</v>
      </c>
      <c r="AR63">
        <f t="shared" si="35"/>
        <v>999213.08</v>
      </c>
      <c r="AT63" s="2">
        <f t="shared" si="36"/>
        <v>999204.12</v>
      </c>
      <c r="AU63">
        <f t="shared" si="37"/>
        <v>999204.12</v>
      </c>
      <c r="AV63" s="2">
        <f t="shared" si="38"/>
        <v>998999.12</v>
      </c>
      <c r="AW63">
        <f t="shared" si="39"/>
        <v>998999.12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999324.84</v>
      </c>
      <c r="AN64">
        <f t="shared" si="41"/>
        <v>999324.84</v>
      </c>
      <c r="AO64" s="2">
        <f t="shared" si="32"/>
        <v>999313.64</v>
      </c>
      <c r="AP64">
        <f t="shared" si="33"/>
        <v>999313.64</v>
      </c>
      <c r="AQ64" s="2">
        <f t="shared" si="34"/>
        <v>999213.08</v>
      </c>
      <c r="AR64">
        <f t="shared" si="35"/>
        <v>999213.08</v>
      </c>
      <c r="AT64" s="2">
        <f t="shared" si="36"/>
        <v>999204.12</v>
      </c>
      <c r="AU64">
        <f t="shared" si="37"/>
        <v>999204.12</v>
      </c>
      <c r="AV64" s="2">
        <f t="shared" si="38"/>
        <v>998999.12</v>
      </c>
      <c r="AW64">
        <f t="shared" si="39"/>
        <v>998999.12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999324.84</v>
      </c>
      <c r="AN65">
        <f t="shared" si="41"/>
        <v>999324.84</v>
      </c>
      <c r="AO65" s="2">
        <f t="shared" si="32"/>
        <v>999313.64</v>
      </c>
      <c r="AP65">
        <f t="shared" si="33"/>
        <v>999313.64</v>
      </c>
      <c r="AQ65" s="2">
        <f t="shared" si="34"/>
        <v>999213.08</v>
      </c>
      <c r="AR65">
        <f t="shared" si="35"/>
        <v>999213.08</v>
      </c>
      <c r="AT65" s="2">
        <f t="shared" si="36"/>
        <v>999204.12</v>
      </c>
      <c r="AU65">
        <f t="shared" si="37"/>
        <v>999204.12</v>
      </c>
      <c r="AV65" s="2">
        <f t="shared" si="38"/>
        <v>998999.12</v>
      </c>
      <c r="AW65">
        <f t="shared" si="39"/>
        <v>998999.12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999324.84</v>
      </c>
      <c r="AN66">
        <f t="shared" si="41"/>
        <v>999324.84</v>
      </c>
      <c r="AO66" s="2">
        <f t="shared" si="32"/>
        <v>999313.64</v>
      </c>
      <c r="AP66">
        <f t="shared" si="33"/>
        <v>999313.64</v>
      </c>
      <c r="AQ66" s="2">
        <f t="shared" si="34"/>
        <v>999213.08</v>
      </c>
      <c r="AR66">
        <f t="shared" si="35"/>
        <v>999213.08</v>
      </c>
      <c r="AT66" s="2">
        <f t="shared" si="36"/>
        <v>999204.12</v>
      </c>
      <c r="AU66">
        <f t="shared" si="37"/>
        <v>999204.12</v>
      </c>
      <c r="AV66" s="2">
        <f t="shared" si="38"/>
        <v>998999.12</v>
      </c>
      <c r="AW66">
        <f t="shared" si="39"/>
        <v>998999.12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999324.84</v>
      </c>
      <c r="AN67">
        <f t="shared" si="41"/>
        <v>999324.84</v>
      </c>
      <c r="AO67" s="2">
        <f t="shared" si="32"/>
        <v>999313.64</v>
      </c>
      <c r="AP67">
        <f t="shared" si="33"/>
        <v>999313.64</v>
      </c>
      <c r="AQ67" s="2">
        <f t="shared" si="34"/>
        <v>999213.08</v>
      </c>
      <c r="AR67">
        <f t="shared" si="35"/>
        <v>999213.08</v>
      </c>
      <c r="AT67" s="2">
        <f t="shared" si="36"/>
        <v>999204.12</v>
      </c>
      <c r="AU67">
        <f t="shared" si="37"/>
        <v>999204.12</v>
      </c>
      <c r="AV67" s="2">
        <f t="shared" si="38"/>
        <v>998999.12</v>
      </c>
      <c r="AW67">
        <f t="shared" si="39"/>
        <v>998999.12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225</v>
      </c>
      <c r="BI69" s="5">
        <f>BG26</f>
        <v>2.8400000000000318</v>
      </c>
      <c r="BJ69" s="5">
        <f>CE28</f>
        <v>0</v>
      </c>
      <c r="BK69" s="5">
        <f>BI69+BJ69</f>
        <v>2.8400000000000318</v>
      </c>
      <c r="BW69" s="5">
        <f>SUM(BW49:BW68)</f>
        <v>0</v>
      </c>
    </row>
    <row r="70" spans="36:75" x14ac:dyDescent="0.25">
      <c r="BK70" s="5">
        <f>BG27+CE29</f>
        <v>233.72000000000008</v>
      </c>
    </row>
    <row r="82" spans="41:46" x14ac:dyDescent="0.25">
      <c r="AO82" s="5">
        <f>IF(AO20&lt;&gt;0,1,0)</f>
        <v>0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0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246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L11</f>
        <v>0</v>
      </c>
      <c r="DF211" s="233">
        <f>M11</f>
        <v>1000.88</v>
      </c>
    </row>
    <row r="212" spans="105:110" ht="15.5" x14ac:dyDescent="0.35">
      <c r="DA212" s="232" t="str">
        <f t="shared" ref="DA212:DA230" si="52">IF(A12="Elected","E",IF(A12="Excluded","Excluded",""))&amp;IF(B12&gt;0,B12,"")</f>
        <v/>
      </c>
      <c r="DB212" s="232" t="str">
        <f t="shared" ref="DB212:DD227" si="53">C12</f>
        <v>CARLIN</v>
      </c>
      <c r="DC212" s="232" t="str">
        <f t="shared" si="53"/>
        <v>Sinn Féin</v>
      </c>
      <c r="DD212" s="233">
        <f t="shared" si="53"/>
        <v>1204</v>
      </c>
      <c r="DE212" s="233">
        <f t="shared" ref="DE212:DF212" si="54">L12</f>
        <v>0.52</v>
      </c>
      <c r="DF212" s="233">
        <f t="shared" si="54"/>
        <v>1214.76</v>
      </c>
    </row>
    <row r="213" spans="105:110" ht="15.5" x14ac:dyDescent="0.35">
      <c r="DA213" s="232" t="str">
        <f t="shared" si="52"/>
        <v/>
      </c>
      <c r="DB213" s="232" t="str">
        <f t="shared" si="53"/>
        <v>EATON</v>
      </c>
      <c r="DC213" s="232" t="str">
        <f t="shared" si="53"/>
        <v>Alliance Party</v>
      </c>
      <c r="DD213" s="233">
        <f t="shared" si="53"/>
        <v>1116</v>
      </c>
      <c r="DE213" s="233">
        <f t="shared" ref="DE213:DF213" si="55">L13</f>
        <v>2.6</v>
      </c>
      <c r="DF213" s="233">
        <f t="shared" si="55"/>
        <v>1188.76</v>
      </c>
    </row>
    <row r="214" spans="105:110" ht="15.5" x14ac:dyDescent="0.35">
      <c r="DA214" s="232" t="str">
        <f t="shared" si="52"/>
        <v/>
      </c>
      <c r="DB214" s="232" t="str">
        <f t="shared" si="53"/>
        <v>GALLEN</v>
      </c>
      <c r="DC214" s="232" t="str">
        <f t="shared" si="53"/>
        <v>SDLP</v>
      </c>
      <c r="DD214" s="233">
        <f t="shared" si="53"/>
        <v>1035</v>
      </c>
      <c r="DE214" s="233">
        <f t="shared" ref="DE214:DF214" si="56">L14</f>
        <v>2.08</v>
      </c>
      <c r="DF214" s="233">
        <f t="shared" si="56"/>
        <v>1046.1599999999999</v>
      </c>
    </row>
    <row r="215" spans="105:110" ht="15.5" x14ac:dyDescent="0.35">
      <c r="DA215" s="232" t="str">
        <f t="shared" si="52"/>
        <v>E</v>
      </c>
      <c r="DB215" s="232" t="str">
        <f t="shared" si="53"/>
        <v>GUY</v>
      </c>
      <c r="DC215" s="232" t="str">
        <f t="shared" si="53"/>
        <v>Alliance Party</v>
      </c>
      <c r="DD215" s="233">
        <f t="shared" si="53"/>
        <v>1452</v>
      </c>
      <c r="DE215" s="233">
        <f t="shared" ref="DE215:DF215" si="57">L15</f>
        <v>0</v>
      </c>
      <c r="DF215" s="233">
        <f t="shared" si="57"/>
        <v>1274</v>
      </c>
    </row>
    <row r="216" spans="105:110" ht="15.5" x14ac:dyDescent="0.35">
      <c r="DA216" s="232" t="str">
        <f t="shared" si="52"/>
        <v/>
      </c>
      <c r="DB216" s="232" t="str">
        <f t="shared" si="53"/>
        <v>HAMLEY</v>
      </c>
      <c r="DC216" s="232" t="str">
        <f t="shared" si="53"/>
        <v>Green Party NI</v>
      </c>
      <c r="DD216" s="233">
        <f t="shared" si="53"/>
        <v>656</v>
      </c>
      <c r="DE216" s="233">
        <f t="shared" ref="DE216:DF216" si="58">L16</f>
        <v>2.6</v>
      </c>
      <c r="DF216" s="233">
        <f t="shared" si="58"/>
        <v>677.76</v>
      </c>
    </row>
    <row r="217" spans="105:110" ht="15.5" x14ac:dyDescent="0.35">
      <c r="DA217" s="232" t="str">
        <f t="shared" si="52"/>
        <v/>
      </c>
      <c r="DB217" s="232" t="str">
        <f t="shared" si="53"/>
        <v>HENDERSON</v>
      </c>
      <c r="DC217" s="232" t="str">
        <f t="shared" si="53"/>
        <v>UUP</v>
      </c>
      <c r="DD217" s="233">
        <f t="shared" si="53"/>
        <v>760</v>
      </c>
      <c r="DE217" s="233">
        <f t="shared" ref="DE217:DF217" si="59">L17</f>
        <v>214.76000000000002</v>
      </c>
      <c r="DF217" s="233">
        <f t="shared" si="59"/>
        <v>1001.68</v>
      </c>
    </row>
    <row r="218" spans="105:110" ht="15.5" x14ac:dyDescent="0.35">
      <c r="DA218" s="232" t="str">
        <f t="shared" si="52"/>
        <v>E</v>
      </c>
      <c r="DB218" s="232" t="str">
        <f t="shared" si="53"/>
        <v>HIGGINSON</v>
      </c>
      <c r="DC218" s="232" t="str">
        <f t="shared" si="53"/>
        <v>D.U.P.</v>
      </c>
      <c r="DD218" s="233">
        <f t="shared" si="53"/>
        <v>1006</v>
      </c>
      <c r="DE218" s="233">
        <f t="shared" ref="DE218:DF218" si="60">L18</f>
        <v>-233.72000000000003</v>
      </c>
      <c r="DF218" s="233">
        <f t="shared" si="60"/>
        <v>1274</v>
      </c>
    </row>
    <row r="219" spans="105:110" ht="15.5" x14ac:dyDescent="0.35">
      <c r="DA219" s="232" t="str">
        <f t="shared" si="52"/>
        <v/>
      </c>
      <c r="DB219" s="232" t="str">
        <f t="shared" si="53"/>
        <v>LEE</v>
      </c>
      <c r="DC219" s="232" t="str">
        <f t="shared" si="53"/>
        <v xml:space="preserve">SDLP </v>
      </c>
      <c r="DD219" s="233">
        <f t="shared" si="53"/>
        <v>656</v>
      </c>
      <c r="DE219" s="233">
        <f t="shared" ref="DE219:DF219" si="61">L19</f>
        <v>2.08</v>
      </c>
      <c r="DF219" s="233">
        <f t="shared" si="61"/>
        <v>688.44</v>
      </c>
    </row>
    <row r="220" spans="105:110" ht="15.5" x14ac:dyDescent="0.35">
      <c r="DA220" s="232" t="str">
        <f t="shared" si="52"/>
        <v/>
      </c>
      <c r="DB220" s="232" t="str">
        <f t="shared" si="53"/>
        <v>MCKEEVER</v>
      </c>
      <c r="DC220" s="232" t="str">
        <f t="shared" si="53"/>
        <v>Alliance Party</v>
      </c>
      <c r="DD220" s="233">
        <f t="shared" si="53"/>
        <v>727</v>
      </c>
      <c r="DE220" s="233">
        <f t="shared" ref="DE220:DF220" si="62">L20</f>
        <v>6.24</v>
      </c>
      <c r="DF220" s="233">
        <f t="shared" si="62"/>
        <v>802.12</v>
      </c>
    </row>
    <row r="221" spans="105:110" ht="15.5" x14ac:dyDescent="0.35">
      <c r="DA221" s="232" t="str">
        <f t="shared" si="52"/>
        <v>Excluded</v>
      </c>
      <c r="DB221" s="232" t="str">
        <f t="shared" si="53"/>
        <v>MILLER</v>
      </c>
      <c r="DC221" s="232" t="str">
        <f t="shared" si="53"/>
        <v>Independent</v>
      </c>
      <c r="DD221" s="233">
        <f t="shared" si="53"/>
        <v>49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>Excluded</v>
      </c>
      <c r="DB222" s="232" t="str">
        <f t="shared" si="53"/>
        <v>TRAYNOR</v>
      </c>
      <c r="DC222" s="232" t="str">
        <f t="shared" si="53"/>
        <v>D.U.P.</v>
      </c>
      <c r="DD222" s="233">
        <f t="shared" si="53"/>
        <v>527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127</v>
      </c>
      <c r="DD231" s="234"/>
      <c r="DE231" s="233">
        <f t="shared" ref="DE231:DF231" si="74">L31</f>
        <v>2.8400000000000318</v>
      </c>
      <c r="DF231" s="233">
        <f t="shared" si="74"/>
        <v>16.440000000000026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5">M32</f>
        <v>10185.000000000002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AQ6:AR7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R8:S8"/>
    <mergeCell ref="R7:S7"/>
    <mergeCell ref="R6:S6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</mergeCells>
  <phoneticPr fontId="0" type="noConversion"/>
  <conditionalFormatting sqref="AL3">
    <cfRule type="cellIs" dxfId="122" priority="1" stopIfTrue="1" operator="notEqual">
      <formula>0</formula>
    </cfRule>
  </conditionalFormatting>
  <conditionalFormatting sqref="BF30:BG31">
    <cfRule type="cellIs" dxfId="121" priority="2" stopIfTrue="1" operator="equal">
      <formula>"NONE"</formula>
    </cfRule>
    <cfRule type="cellIs" dxfId="120" priority="3" stopIfTrue="1" operator="notEqual">
      <formula>"NONE"</formula>
    </cfRule>
  </conditionalFormatting>
  <conditionalFormatting sqref="BX30">
    <cfRule type="cellIs" dxfId="119" priority="4" stopIfTrue="1" operator="equal">
      <formula>"Calculations OK"</formula>
    </cfRule>
    <cfRule type="cellIs" dxfId="118" priority="5" stopIfTrue="1" operator="equal">
      <formula>"Check Count for Error"</formula>
    </cfRule>
  </conditionalFormatting>
  <conditionalFormatting sqref="V4:W4">
    <cfRule type="cellIs" dxfId="117" priority="6" stopIfTrue="1" operator="equal">
      <formula>"Totals Correct"</formula>
    </cfRule>
    <cfRule type="cellIs" dxfId="116" priority="7" stopIfTrue="1" operator="equal">
      <formula>"ERROR"</formula>
    </cfRule>
  </conditionalFormatting>
  <conditionalFormatting sqref="U4">
    <cfRule type="cellIs" dxfId="115" priority="8" stopIfTrue="1" operator="equal">
      <formula>"OK TO MOVE TO NEXT STAGE"</formula>
    </cfRule>
    <cfRule type="cellIs" dxfId="114" priority="9" stopIfTrue="1" operator="equal">
      <formula>"DO NOT MOVE TO NEXT STAGE"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paperSize="8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232"/>
  <sheetViews>
    <sheetView showGridLines="0" showZeros="0" topLeftCell="B14" zoomScale="75" workbookViewId="0">
      <selection activeCell="O34" sqref="O34"/>
    </sheetView>
  </sheetViews>
  <sheetFormatPr defaultRowHeight="12.5" x14ac:dyDescent="0.25"/>
  <cols>
    <col min="1" max="1" width="8.453125" customWidth="1"/>
    <col min="2" max="2" width="4.453125" customWidth="1"/>
    <col min="3" max="3" width="18.7265625" customWidth="1"/>
    <col min="4" max="4" width="18.453125" customWidth="1"/>
    <col min="5" max="5" width="13.26953125" customWidth="1"/>
    <col min="6" max="23" width="9.7265625" customWidth="1"/>
    <col min="24" max="24" width="218.453125" customWidth="1"/>
    <col min="25" max="25" width="4" customWidth="1"/>
    <col min="26" max="26" width="14.453125" customWidth="1"/>
    <col min="27" max="27" width="11.7265625" customWidth="1"/>
    <col min="28" max="28" width="2" customWidth="1"/>
    <col min="29" max="29" width="8.453125" customWidth="1"/>
    <col min="30" max="30" width="2" customWidth="1"/>
    <col min="31" max="31" width="13.26953125" customWidth="1"/>
    <col min="32" max="32" width="8.453125" customWidth="1"/>
    <col min="33" max="33" width="19.81640625" customWidth="1"/>
    <col min="34" max="34" width="2.453125" customWidth="1"/>
    <col min="35" max="35" width="3.26953125" customWidth="1"/>
    <col min="38" max="38" width="10.7265625" customWidth="1"/>
    <col min="39" max="39" width="10.1796875" customWidth="1"/>
    <col min="40" max="40" width="10.7265625" customWidth="1"/>
    <col min="41" max="41" width="11" customWidth="1"/>
    <col min="42" max="42" width="8.453125" customWidth="1"/>
    <col min="43" max="43" width="11.26953125" customWidth="1"/>
    <col min="44" max="44" width="16.26953125" customWidth="1"/>
    <col min="45" max="45" width="207.7265625" customWidth="1"/>
    <col min="50" max="50" width="214.1796875" customWidth="1"/>
    <col min="51" max="51" width="5" customWidth="1"/>
    <col min="52" max="52" width="49.81640625" customWidth="1"/>
    <col min="53" max="53" width="14.26953125" customWidth="1"/>
    <col min="54" max="54" width="3.26953125" customWidth="1"/>
    <col min="56" max="56" width="4" customWidth="1"/>
    <col min="57" max="57" width="23" customWidth="1"/>
    <col min="58" max="58" width="12" customWidth="1"/>
    <col min="59" max="59" width="14.81640625" customWidth="1"/>
    <col min="61" max="61" width="11" customWidth="1"/>
    <col min="62" max="62" width="11.453125" customWidth="1"/>
    <col min="63" max="63" width="10.81640625" customWidth="1"/>
    <col min="64" max="64" width="212.26953125" customWidth="1"/>
    <col min="67" max="67" width="9.7265625" customWidth="1"/>
    <col min="68" max="68" width="7.453125" customWidth="1"/>
    <col min="69" max="69" width="1.7265625" customWidth="1"/>
    <col min="70" max="70" width="24.81640625" customWidth="1"/>
    <col min="83" max="83" width="19.26953125" customWidth="1"/>
    <col min="105" max="105" width="12.54296875" customWidth="1"/>
    <col min="106" max="106" width="33.1796875" customWidth="1"/>
    <col min="107" max="107" width="34" customWidth="1"/>
    <col min="108" max="108" width="16" customWidth="1"/>
    <col min="109" max="109" width="15" customWidth="1"/>
    <col min="110" max="110" width="15.8164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111</v>
      </c>
      <c r="J1" s="85" t="s">
        <v>37</v>
      </c>
      <c r="K1" s="311">
        <f>'Basic Input'!C2</f>
        <v>45064</v>
      </c>
      <c r="L1" s="311"/>
      <c r="Z1" s="10" t="s">
        <v>247</v>
      </c>
      <c r="AQ1" s="33"/>
      <c r="AZ1" s="10" t="s">
        <v>130</v>
      </c>
      <c r="BE1" s="34" t="str">
        <f>IF(AT5="T","COMPLETE THIS FORM","YOU HAVE NOT SELECTED TO COMPLETE THIS FORM")</f>
        <v>YOU HAVE NOT SELECTED TO COMPLETE THIS FORM</v>
      </c>
      <c r="BR1" s="10" t="s">
        <v>131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Castlereagh South</v>
      </c>
      <c r="O2" s="337" t="s">
        <v>248</v>
      </c>
      <c r="P2" s="338"/>
      <c r="Q2" s="338"/>
      <c r="R2" s="338"/>
      <c r="S2" s="339"/>
      <c r="Z2" s="305" t="s">
        <v>133</v>
      </c>
      <c r="AA2" s="305"/>
      <c r="AB2" s="305"/>
      <c r="AC2" s="305"/>
      <c r="AD2" s="305"/>
      <c r="AE2" s="305"/>
      <c r="AF2" s="332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134</v>
      </c>
      <c r="BR2" s="36" t="s">
        <v>111</v>
      </c>
      <c r="CB2" s="337" t="s">
        <v>135</v>
      </c>
      <c r="CC2" s="338"/>
      <c r="CD2" s="338"/>
      <c r="CE2" s="339"/>
    </row>
    <row r="3" spans="1:105" ht="21.75" customHeight="1" thickBot="1" x14ac:dyDescent="0.45">
      <c r="C3" s="3" t="s">
        <v>100</v>
      </c>
      <c r="D3" s="68">
        <f>'Verification of Boxes'!L2</f>
        <v>18120</v>
      </c>
      <c r="E3" s="312" t="s">
        <v>66</v>
      </c>
      <c r="F3" s="313"/>
      <c r="G3" s="131">
        <f>'Verification of Boxes'!G3</f>
        <v>7</v>
      </c>
      <c r="H3" s="312" t="s">
        <v>101</v>
      </c>
      <c r="I3" s="313"/>
      <c r="J3" s="131">
        <f>'Verification of Boxes'!L33</f>
        <v>95</v>
      </c>
      <c r="L3" s="3" t="s">
        <v>102</v>
      </c>
      <c r="M3" s="131">
        <f>'Verification of Boxes'!G4</f>
        <v>1274</v>
      </c>
      <c r="O3" s="317"/>
      <c r="P3" s="317"/>
      <c r="Q3" s="317"/>
      <c r="R3" s="317"/>
      <c r="S3" s="317"/>
      <c r="Z3" s="305" t="s">
        <v>136</v>
      </c>
      <c r="AA3" s="305"/>
      <c r="AB3" s="305"/>
      <c r="AC3" s="305"/>
      <c r="AD3" s="305"/>
      <c r="AE3" s="305"/>
      <c r="AF3" s="332"/>
      <c r="AG3" s="197">
        <f>LARGE(AF14:AF33,1)</f>
        <v>0</v>
      </c>
      <c r="AJ3" s="163"/>
      <c r="AK3" s="163"/>
      <c r="AL3" s="334" t="str">
        <f>IF(AQ5="n","MOVE TO EXCLUDE CANDIDATE FORM",IF(AQ5="y","MOVE TO TRANSFER OF SURPLUS VOTES FORM",0))</f>
        <v>MOVE TO EXCLUDE CANDIDATE FORM</v>
      </c>
      <c r="AM3" s="335"/>
      <c r="AN3" s="335"/>
      <c r="AO3" s="335"/>
      <c r="AP3" s="335"/>
      <c r="AQ3" s="336"/>
      <c r="AZ3" s="10" t="str">
        <f>'Verification of Boxes'!A3</f>
        <v>District Electoral Area of</v>
      </c>
      <c r="BI3" s="337" t="s">
        <v>135</v>
      </c>
      <c r="BJ3" s="338"/>
      <c r="BK3" s="339"/>
      <c r="BR3" s="81" t="s">
        <v>137</v>
      </c>
      <c r="BS3" s="82"/>
      <c r="BT3" s="340" t="s">
        <v>249</v>
      </c>
      <c r="BU3" s="341"/>
      <c r="BV3" s="341"/>
      <c r="BW3" s="341"/>
      <c r="BX3" s="341"/>
      <c r="BY3" s="341"/>
      <c r="BZ3" s="342"/>
    </row>
    <row r="4" spans="1:105" ht="30.75" customHeight="1" thickBot="1" x14ac:dyDescent="0.45">
      <c r="A4" s="10"/>
      <c r="C4" s="3" t="s">
        <v>103</v>
      </c>
      <c r="D4" s="131">
        <f>'Verification of Boxes'!L3</f>
        <v>10280</v>
      </c>
      <c r="E4" s="323" t="s">
        <v>104</v>
      </c>
      <c r="F4" s="313"/>
      <c r="G4" s="67">
        <f>D4-J3</f>
        <v>10185</v>
      </c>
      <c r="H4" s="312" t="s">
        <v>105</v>
      </c>
      <c r="I4" s="313"/>
      <c r="J4" s="132">
        <f>'Verification of Boxes'!L5</f>
        <v>56.732891832229583</v>
      </c>
      <c r="O4" s="337" t="s">
        <v>250</v>
      </c>
      <c r="P4" s="338"/>
      <c r="Q4" s="338"/>
      <c r="R4" s="338"/>
      <c r="S4" s="339"/>
      <c r="U4" s="324" t="str">
        <f>IF(33="ERROR","DO NOT MOVE TO NEXT STAGE","OK TO MOVE TO NEXT STAGE")</f>
        <v>OK TO MOVE TO NEXT STAGE</v>
      </c>
      <c r="V4" s="324"/>
      <c r="W4" s="324"/>
      <c r="Z4" s="305" t="s">
        <v>71</v>
      </c>
      <c r="AA4" s="305"/>
      <c r="AB4" s="305"/>
      <c r="AC4" s="305"/>
      <c r="AD4" s="305"/>
      <c r="AE4" s="305"/>
      <c r="AF4" s="332"/>
      <c r="AG4" s="198">
        <f>'Verification of Boxes'!G4</f>
        <v>1274</v>
      </c>
      <c r="AZ4" s="77" t="str">
        <f>'Verification of Boxes'!B3</f>
        <v>Castlereagh South</v>
      </c>
      <c r="BE4" s="111" t="s">
        <v>140</v>
      </c>
      <c r="BF4" s="112" t="s">
        <v>141</v>
      </c>
      <c r="BG4" s="113" t="s">
        <v>142</v>
      </c>
      <c r="BH4" s="149" t="s">
        <v>143</v>
      </c>
      <c r="BI4" s="91" t="s">
        <v>144</v>
      </c>
      <c r="BJ4" s="91" t="s">
        <v>145</v>
      </c>
      <c r="BR4" t="s">
        <v>146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147</v>
      </c>
      <c r="AK5" s="104"/>
      <c r="AL5" s="103" t="s">
        <v>148</v>
      </c>
      <c r="AM5" s="103"/>
      <c r="AN5" s="103"/>
      <c r="AO5" s="104"/>
      <c r="AP5" s="105"/>
      <c r="AQ5" s="196" t="s">
        <v>149</v>
      </c>
      <c r="AT5" s="7" t="str">
        <f>IF(AQ5=0,0,IF(AQ5="Y","T","E"))</f>
        <v>E</v>
      </c>
      <c r="BE5" s="61" t="str">
        <f>'Verification of Boxes'!J10</f>
        <v>BASSETT</v>
      </c>
      <c r="BF5" s="64"/>
      <c r="BG5" s="100">
        <f t="shared" ref="BG5:BG24" si="0">IF(BC$23&gt;0,BF5*BC$23,BF5*BC$29)</f>
        <v>0</v>
      </c>
      <c r="BH5" s="150"/>
      <c r="BI5" s="5">
        <f>IF(A11&lt;&gt;0,A11,0)</f>
        <v>0</v>
      </c>
      <c r="BJ5" s="5">
        <f>IF(C11=0,0,IF(M11=0,"Excluded",0))</f>
        <v>0</v>
      </c>
      <c r="BP5" s="310" t="s">
        <v>150</v>
      </c>
      <c r="BR5" s="5"/>
      <c r="BS5" s="83" t="s">
        <v>151</v>
      </c>
      <c r="BT5" s="84"/>
      <c r="BU5" s="83" t="s">
        <v>152</v>
      </c>
      <c r="BV5" s="84"/>
      <c r="BW5" s="83" t="s">
        <v>153</v>
      </c>
      <c r="BX5" s="121"/>
      <c r="BY5" s="83" t="s">
        <v>153</v>
      </c>
      <c r="BZ5" s="121"/>
      <c r="CA5" s="83" t="s">
        <v>153</v>
      </c>
      <c r="CB5" s="121"/>
      <c r="CC5" s="83" t="s">
        <v>153</v>
      </c>
      <c r="CD5" s="121"/>
      <c r="CE5" s="203" t="s">
        <v>154</v>
      </c>
    </row>
    <row r="6" spans="1:105" ht="15" customHeight="1" thickBot="1" x14ac:dyDescent="0.45">
      <c r="A6" s="10"/>
      <c r="E6" s="24" t="s">
        <v>98</v>
      </c>
      <c r="F6" s="285" t="s">
        <v>107</v>
      </c>
      <c r="G6" s="287"/>
      <c r="H6" s="285" t="s">
        <v>108</v>
      </c>
      <c r="I6" s="287"/>
      <c r="J6" s="285" t="s">
        <v>109</v>
      </c>
      <c r="K6" s="287"/>
      <c r="L6" s="285" t="s">
        <v>110</v>
      </c>
      <c r="M6" s="287"/>
      <c r="N6" s="285" t="s">
        <v>111</v>
      </c>
      <c r="O6" s="287"/>
      <c r="P6" s="285" t="s">
        <v>112</v>
      </c>
      <c r="Q6" s="287"/>
      <c r="R6" s="285" t="s">
        <v>113</v>
      </c>
      <c r="S6" s="287"/>
      <c r="T6" s="285" t="s">
        <v>114</v>
      </c>
      <c r="U6" s="287"/>
      <c r="V6" s="285" t="s">
        <v>115</v>
      </c>
      <c r="W6" s="287"/>
      <c r="Z6" s="352" t="s">
        <v>251</v>
      </c>
      <c r="AA6" s="353"/>
      <c r="AB6" s="353"/>
      <c r="AC6" s="353"/>
      <c r="AD6" s="353"/>
      <c r="AE6" s="353"/>
      <c r="AF6" s="354"/>
      <c r="AJ6" t="s">
        <v>156</v>
      </c>
      <c r="AK6" s="322" t="s">
        <v>157</v>
      </c>
      <c r="AL6" s="322"/>
      <c r="AM6" s="322"/>
      <c r="AN6" s="322"/>
      <c r="AO6" s="322"/>
      <c r="AP6" s="322"/>
      <c r="AQ6" s="308" t="str">
        <f>IF(AG2&gt;AM21,"Transfer","Exclude")</f>
        <v>Exclude</v>
      </c>
      <c r="AR6" s="308"/>
      <c r="AS6" s="181"/>
      <c r="AT6" s="91"/>
      <c r="AU6" s="91"/>
      <c r="AW6" s="33"/>
      <c r="AX6" s="33"/>
      <c r="AZ6" s="36" t="s">
        <v>111</v>
      </c>
      <c r="BA6" s="245"/>
      <c r="BE6" s="61" t="str">
        <f>'Verification of Boxes'!J11</f>
        <v>CARLIN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IF(C12=0,0,IF(M12=0,"Excluded",0))</f>
        <v>0</v>
      </c>
      <c r="BP6" s="310"/>
      <c r="BR6" s="5"/>
      <c r="BS6" s="7" t="s">
        <v>158</v>
      </c>
      <c r="BT6" s="6">
        <v>1</v>
      </c>
      <c r="BU6" s="7" t="s">
        <v>158</v>
      </c>
      <c r="BV6" s="6">
        <v>1</v>
      </c>
      <c r="BW6" s="120" t="s">
        <v>158</v>
      </c>
      <c r="BX6" s="65">
        <v>0.52</v>
      </c>
      <c r="BY6" s="122" t="s">
        <v>158</v>
      </c>
      <c r="BZ6" s="65">
        <v>0.12</v>
      </c>
      <c r="CA6" s="122" t="s">
        <v>158</v>
      </c>
      <c r="CB6" s="65"/>
      <c r="CC6" s="122" t="s">
        <v>158</v>
      </c>
      <c r="CD6" s="65"/>
      <c r="CE6" s="204">
        <f>BS29+BU29+BW29+BY29+CA29+CC29</f>
        <v>740</v>
      </c>
    </row>
    <row r="7" spans="1:105" ht="15" customHeight="1" thickBot="1" x14ac:dyDescent="0.3">
      <c r="D7" s="25"/>
      <c r="E7" s="22"/>
      <c r="F7" s="361" t="str">
        <f>'Stage 2'!F7:G7</f>
        <v>Exclude</v>
      </c>
      <c r="G7" s="362"/>
      <c r="H7" s="361" t="str">
        <f>'Stage 3'!H7:I7</f>
        <v>Transfer</v>
      </c>
      <c r="I7" s="362"/>
      <c r="J7" s="361" t="str">
        <f>'Stage 4'!J7:K7</f>
        <v>Exclude</v>
      </c>
      <c r="K7" s="362"/>
      <c r="L7" s="361" t="str">
        <f>'Stage 5'!L7:M7</f>
        <v>Transfer</v>
      </c>
      <c r="M7" s="362"/>
      <c r="N7" s="361" t="str">
        <f>IF($AT5=0,0,IF($AT5="T",$AZ7,$BR4))</f>
        <v>Exclude</v>
      </c>
      <c r="O7" s="362"/>
      <c r="P7" s="303"/>
      <c r="Q7" s="304"/>
      <c r="R7" s="303"/>
      <c r="S7" s="304"/>
      <c r="T7" s="303"/>
      <c r="U7" s="304"/>
      <c r="V7" s="303"/>
      <c r="W7" s="304"/>
      <c r="Z7" s="355"/>
      <c r="AA7" s="356"/>
      <c r="AB7" s="356"/>
      <c r="AC7" s="356"/>
      <c r="AD7" s="356"/>
      <c r="AE7" s="356"/>
      <c r="AF7" s="357"/>
      <c r="AK7" s="322"/>
      <c r="AL7" s="322"/>
      <c r="AM7" s="322"/>
      <c r="AN7" s="322"/>
      <c r="AO7" s="322"/>
      <c r="AP7" s="322"/>
      <c r="AQ7" s="308"/>
      <c r="AR7" s="308"/>
      <c r="AS7" s="181"/>
      <c r="AZ7" t="s">
        <v>159</v>
      </c>
      <c r="BA7" s="28"/>
      <c r="BE7" s="61" t="str">
        <f>'Verification of Boxes'!J12</f>
        <v>EATON</v>
      </c>
      <c r="BF7" s="64"/>
      <c r="BG7" s="100">
        <f t="shared" si="0"/>
        <v>0</v>
      </c>
      <c r="BH7" s="150"/>
      <c r="BI7" s="5" t="str">
        <f t="shared" si="1"/>
        <v>Elected</v>
      </c>
      <c r="BJ7" s="5">
        <f t="shared" si="2"/>
        <v>0</v>
      </c>
      <c r="BN7" t="s">
        <v>160</v>
      </c>
      <c r="BO7" s="3" t="s">
        <v>161</v>
      </c>
      <c r="BP7" s="343"/>
      <c r="BR7" s="5" t="s">
        <v>162</v>
      </c>
      <c r="BS7" s="5" t="s">
        <v>163</v>
      </c>
      <c r="BT7" s="5" t="s">
        <v>153</v>
      </c>
      <c r="BU7" s="5" t="s">
        <v>163</v>
      </c>
      <c r="BV7" s="5" t="s">
        <v>153</v>
      </c>
      <c r="BW7" s="5" t="s">
        <v>163</v>
      </c>
      <c r="BX7" s="118" t="s">
        <v>153</v>
      </c>
      <c r="BY7" s="5" t="s">
        <v>163</v>
      </c>
      <c r="BZ7" s="118" t="s">
        <v>153</v>
      </c>
      <c r="CA7" s="5" t="s">
        <v>163</v>
      </c>
      <c r="CB7" s="118" t="s">
        <v>153</v>
      </c>
      <c r="CC7" s="5" t="s">
        <v>163</v>
      </c>
      <c r="CD7" s="118" t="s">
        <v>153</v>
      </c>
      <c r="CE7" s="4" t="s">
        <v>164</v>
      </c>
    </row>
    <row r="8" spans="1:105" ht="15" customHeight="1" thickBot="1" x14ac:dyDescent="0.45">
      <c r="D8" s="25"/>
      <c r="E8" s="22"/>
      <c r="F8" s="363" t="str">
        <f>'Stage 2'!F8:G8</f>
        <v>Miller</v>
      </c>
      <c r="G8" s="364"/>
      <c r="H8" s="359" t="str">
        <f>'Stage 3'!H8:I8</f>
        <v>GUY</v>
      </c>
      <c r="I8" s="360"/>
      <c r="J8" s="359" t="str">
        <f>'Stage 4'!J8:K8</f>
        <v>TRAYNOR</v>
      </c>
      <c r="K8" s="360"/>
      <c r="L8" s="359" t="str">
        <f>'Stage 5'!L8:M8</f>
        <v>HIGGINSON</v>
      </c>
      <c r="M8" s="360"/>
      <c r="N8" s="359" t="str">
        <f>IF($N7="Transfer",$BA8,$BT3)</f>
        <v>Hamley</v>
      </c>
      <c r="O8" s="360"/>
      <c r="P8" s="301"/>
      <c r="Q8" s="302"/>
      <c r="R8" s="301"/>
      <c r="S8" s="302"/>
      <c r="T8" s="301"/>
      <c r="U8" s="302"/>
      <c r="V8" s="301"/>
      <c r="W8" s="302"/>
      <c r="AA8" s="3"/>
      <c r="AI8" s="10"/>
      <c r="AJ8" s="10"/>
      <c r="AZ8" s="8" t="s">
        <v>165</v>
      </c>
      <c r="BA8" s="151">
        <f>IF(BE49&lt;&gt;0,BE49,IF(BE50&lt;&gt;0,BE50,IF(BE51&lt;&gt;0,BE51,IF(BE52&lt;&gt;0,BE52,0))))</f>
        <v>0</v>
      </c>
      <c r="BE8" s="61" t="str">
        <f>'Verification of Boxes'!J13</f>
        <v>GALLEN</v>
      </c>
      <c r="BF8" s="64"/>
      <c r="BG8" s="100">
        <f t="shared" si="0"/>
        <v>0</v>
      </c>
      <c r="BH8" s="150"/>
      <c r="BI8" s="5">
        <f t="shared" si="1"/>
        <v>0</v>
      </c>
      <c r="BJ8" s="5">
        <f t="shared" si="2"/>
        <v>0</v>
      </c>
      <c r="BL8" s="3"/>
      <c r="BM8" s="3"/>
      <c r="BN8" s="5">
        <f>IF(A11&lt;&gt;0,A11,0)</f>
        <v>0</v>
      </c>
      <c r="BO8" s="7">
        <f t="shared" ref="BO8:BO27" si="3">IF(AA14&gt;=$M$3,"Elected",AA14)</f>
        <v>1000.88</v>
      </c>
      <c r="BP8" s="66"/>
      <c r="BR8" s="9" t="str">
        <f>'Verification of Boxes'!J10</f>
        <v>BASSETT</v>
      </c>
      <c r="BS8" s="64">
        <v>35</v>
      </c>
      <c r="BT8" s="5">
        <f t="shared" ref="BT8:BT29" si="4">BS8*BT$6</f>
        <v>35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>
        <v>3</v>
      </c>
      <c r="BZ8" s="5">
        <f t="shared" ref="BZ8:BZ29" si="7">BY8*BZ$6</f>
        <v>0.36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35.36</v>
      </c>
    </row>
    <row r="9" spans="1:105" ht="15" customHeight="1" thickBot="1" x14ac:dyDescent="0.4">
      <c r="D9" s="25"/>
      <c r="E9" s="23"/>
      <c r="F9" s="285" t="s">
        <v>116</v>
      </c>
      <c r="G9" s="287"/>
      <c r="H9" s="285" t="s">
        <v>116</v>
      </c>
      <c r="I9" s="287"/>
      <c r="J9" s="285" t="s">
        <v>116</v>
      </c>
      <c r="K9" s="287"/>
      <c r="L9" s="285" t="s">
        <v>116</v>
      </c>
      <c r="M9" s="287"/>
      <c r="N9" s="285" t="s">
        <v>116</v>
      </c>
      <c r="O9" s="287"/>
      <c r="P9" s="285" t="s">
        <v>116</v>
      </c>
      <c r="Q9" s="287"/>
      <c r="R9" s="285" t="s">
        <v>116</v>
      </c>
      <c r="S9" s="287"/>
      <c r="T9" s="285" t="s">
        <v>116</v>
      </c>
      <c r="U9" s="287"/>
      <c r="V9" s="115" t="s">
        <v>116</v>
      </c>
      <c r="W9" s="116"/>
      <c r="AA9" s="38"/>
      <c r="AB9" s="38"/>
      <c r="AC9" s="38"/>
      <c r="AJ9" t="s">
        <v>166</v>
      </c>
      <c r="AK9" s="322" t="s">
        <v>167</v>
      </c>
      <c r="AL9" s="322"/>
      <c r="AM9" s="322"/>
      <c r="AN9" s="322"/>
      <c r="AO9" s="322"/>
      <c r="AP9" s="322"/>
      <c r="AQ9" s="320" t="str">
        <f>IF(AT89&lt;&gt;0,"Exclude lowest candidate(s)","Transfer")</f>
        <v>Exclude lowest candidate(s)</v>
      </c>
      <c r="AR9" s="320"/>
      <c r="AS9" s="180"/>
      <c r="AT9" s="91"/>
      <c r="AU9" s="91"/>
      <c r="AW9" s="33"/>
      <c r="AX9" s="33"/>
      <c r="BE9" s="61" t="str">
        <f>'Verification of Boxes'!J14</f>
        <v>GUY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L9" s="3"/>
      <c r="BM9" s="3"/>
      <c r="BN9" s="5">
        <f t="shared" ref="BN9:BN27" si="11">IF(A12&lt;&gt;0,A12,0)</f>
        <v>0</v>
      </c>
      <c r="BO9" s="7">
        <f t="shared" si="3"/>
        <v>1214.76</v>
      </c>
      <c r="BP9" s="66"/>
      <c r="BR9" s="9" t="str">
        <f>'Verification of Boxes'!J11</f>
        <v>CARLIN</v>
      </c>
      <c r="BS9" s="64">
        <v>46</v>
      </c>
      <c r="BT9" s="5">
        <f t="shared" si="4"/>
        <v>46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46</v>
      </c>
    </row>
    <row r="10" spans="1:105" ht="15" customHeight="1" thickBot="1" x14ac:dyDescent="0.3">
      <c r="A10" s="15" t="s">
        <v>117</v>
      </c>
      <c r="B10" s="16" t="s">
        <v>118</v>
      </c>
      <c r="C10" s="16" t="s">
        <v>119</v>
      </c>
      <c r="D10" s="32" t="s">
        <v>120</v>
      </c>
      <c r="E10" s="1" t="s">
        <v>121</v>
      </c>
      <c r="F10" s="115"/>
      <c r="G10" s="116" t="s">
        <v>87</v>
      </c>
      <c r="H10" s="136"/>
      <c r="I10" s="137" t="s">
        <v>87</v>
      </c>
      <c r="J10" s="134"/>
      <c r="K10" s="137" t="s">
        <v>87</v>
      </c>
      <c r="L10" s="136"/>
      <c r="M10" s="137" t="s">
        <v>87</v>
      </c>
      <c r="N10" s="136"/>
      <c r="O10" s="137" t="s">
        <v>87</v>
      </c>
      <c r="P10" s="136"/>
      <c r="Q10" s="137" t="s">
        <v>87</v>
      </c>
      <c r="R10" s="136"/>
      <c r="S10" s="137" t="s">
        <v>87</v>
      </c>
      <c r="T10" s="136"/>
      <c r="U10" s="137" t="s">
        <v>87</v>
      </c>
      <c r="V10" s="136"/>
      <c r="W10" s="137" t="s">
        <v>87</v>
      </c>
      <c r="AK10" s="322"/>
      <c r="AL10" s="322"/>
      <c r="AM10" s="322"/>
      <c r="AN10" s="322"/>
      <c r="AO10" s="322"/>
      <c r="AP10" s="322"/>
      <c r="AQ10" s="320"/>
      <c r="AR10" s="320"/>
      <c r="AS10" s="180"/>
      <c r="AZ10" t="s">
        <v>168</v>
      </c>
      <c r="BA10" s="3" t="s">
        <v>169</v>
      </c>
      <c r="BB10" s="3"/>
      <c r="BC10" s="162"/>
      <c r="BE10" s="61" t="str">
        <f>'Verification of Boxes'!J15</f>
        <v>HAMLEY</v>
      </c>
      <c r="BF10" s="64"/>
      <c r="BG10" s="100">
        <f t="shared" si="0"/>
        <v>0</v>
      </c>
      <c r="BH10" s="150"/>
      <c r="BI10" s="5" t="str">
        <f t="shared" si="1"/>
        <v>Excluded</v>
      </c>
      <c r="BJ10" s="5">
        <f t="shared" si="2"/>
        <v>0</v>
      </c>
      <c r="BL10" s="3"/>
      <c r="BM10" s="3"/>
      <c r="BN10" s="5" t="str">
        <f t="shared" si="11"/>
        <v>Elected</v>
      </c>
      <c r="BO10" s="7">
        <f t="shared" si="3"/>
        <v>1188.76</v>
      </c>
      <c r="BP10" s="66"/>
      <c r="BR10" s="9" t="str">
        <f>'Verification of Boxes'!J12</f>
        <v>EATON</v>
      </c>
      <c r="BS10" s="64">
        <v>228</v>
      </c>
      <c r="BT10" s="5">
        <f t="shared" si="4"/>
        <v>228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228</v>
      </c>
    </row>
    <row r="11" spans="1:105" ht="15" customHeight="1" thickBot="1" x14ac:dyDescent="0.3">
      <c r="A11" s="29">
        <f>IF('Stage 5'!A11&lt;&gt;0,'Stage 5'!A11,IF(O11&gt;=$M$3,"Elected",IF(BP8&lt;&gt;0,"Excluded",0)))</f>
        <v>0</v>
      </c>
      <c r="B11" s="235">
        <f>'Stage 5'!B11</f>
        <v>0</v>
      </c>
      <c r="C11" s="155" t="str">
        <f>'Verification of Boxes'!J10</f>
        <v>BASSETT</v>
      </c>
      <c r="D11" s="29" t="str">
        <f>'Verification of Boxes'!K10</f>
        <v>Sinn Féin</v>
      </c>
      <c r="E11" s="108">
        <f>'Verification of Boxes'!L10</f>
        <v>997</v>
      </c>
      <c r="F11" s="71">
        <f>'Stage 2'!F11</f>
        <v>1</v>
      </c>
      <c r="G11" s="135">
        <f>'Stage 2'!G11</f>
        <v>998</v>
      </c>
      <c r="H11" s="71">
        <f>'Stage 3'!H11</f>
        <v>2.88</v>
      </c>
      <c r="I11" s="135">
        <f>'Stage 3'!I11</f>
        <v>1000.88</v>
      </c>
      <c r="J11" s="71">
        <f>'Stage 4'!J11</f>
        <v>0</v>
      </c>
      <c r="K11" s="135">
        <f>'Stage 4'!K11</f>
        <v>1000.88</v>
      </c>
      <c r="L11" s="71">
        <f>'Stage 5'!L11</f>
        <v>0</v>
      </c>
      <c r="M11" s="135">
        <f>'Stage 5'!M11</f>
        <v>1000.88</v>
      </c>
      <c r="N11" s="71">
        <f t="shared" ref="N11:N30" si="12">IF($C11&lt;&gt;0,$BK49,0)</f>
        <v>35.36</v>
      </c>
      <c r="O11" s="27">
        <f t="shared" ref="O11:O31" si="13">IF(N$8=0,0,M11+N11)</f>
        <v>1036.24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71</v>
      </c>
      <c r="BA11" s="3" t="s">
        <v>170</v>
      </c>
      <c r="BB11" s="3"/>
      <c r="BC11" s="1">
        <f>'Verification of Boxes'!G4</f>
        <v>1274</v>
      </c>
      <c r="BE11" s="61" t="str">
        <f>'Verification of Boxes'!J16</f>
        <v>HENDERSON</v>
      </c>
      <c r="BF11" s="64"/>
      <c r="BG11" s="100">
        <f t="shared" si="0"/>
        <v>0</v>
      </c>
      <c r="BH11" s="150"/>
      <c r="BI11" s="5">
        <f t="shared" si="1"/>
        <v>0</v>
      </c>
      <c r="BJ11" s="5">
        <f t="shared" si="2"/>
        <v>0</v>
      </c>
      <c r="BL11" s="3"/>
      <c r="BM11" s="3"/>
      <c r="BN11" s="5">
        <f t="shared" si="11"/>
        <v>0</v>
      </c>
      <c r="BO11" s="7">
        <f t="shared" si="3"/>
        <v>1046.1599999999999</v>
      </c>
      <c r="BP11" s="66"/>
      <c r="BR11" s="9" t="str">
        <f>'Verification of Boxes'!J13</f>
        <v>GALLEN</v>
      </c>
      <c r="BS11" s="64">
        <v>99</v>
      </c>
      <c r="BT11" s="5">
        <f t="shared" si="4"/>
        <v>99</v>
      </c>
      <c r="BU11" s="64">
        <v>1</v>
      </c>
      <c r="BV11" s="5">
        <f t="shared" si="5"/>
        <v>1</v>
      </c>
      <c r="BW11" s="64"/>
      <c r="BX11" s="5">
        <f t="shared" si="6"/>
        <v>0</v>
      </c>
      <c r="BY11" s="64">
        <v>8</v>
      </c>
      <c r="BZ11" s="5">
        <f t="shared" si="7"/>
        <v>0.96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100.96</v>
      </c>
    </row>
    <row r="12" spans="1:105" ht="15" customHeight="1" thickBot="1" x14ac:dyDescent="0.4">
      <c r="A12" s="20">
        <f>IF('Stage 5'!A12&lt;&gt;0,'Stage 5'!A12,IF(O12&gt;=$M$3,"Elected",IF(BP9&lt;&gt;0,"Excluded",0)))</f>
        <v>0</v>
      </c>
      <c r="B12" s="235">
        <f>'Stage 5'!B12</f>
        <v>0</v>
      </c>
      <c r="C12" s="119" t="str">
        <f>'Verification of Boxes'!J11</f>
        <v>CARLIN</v>
      </c>
      <c r="D12" s="20" t="str">
        <f>'Verification of Boxes'!K11</f>
        <v>Sinn Féin</v>
      </c>
      <c r="E12" s="109">
        <f>'Verification of Boxes'!L11</f>
        <v>1204</v>
      </c>
      <c r="F12" s="71">
        <f>'Stage 2'!F12</f>
        <v>3</v>
      </c>
      <c r="G12" s="135">
        <f>'Stage 2'!G12</f>
        <v>1207</v>
      </c>
      <c r="H12" s="71">
        <f>'Stage 3'!H12</f>
        <v>6.24</v>
      </c>
      <c r="I12" s="135">
        <f>'Stage 3'!I12</f>
        <v>1213.24</v>
      </c>
      <c r="J12" s="71">
        <f>'Stage 4'!J12</f>
        <v>1</v>
      </c>
      <c r="K12" s="135">
        <f>'Stage 4'!K12</f>
        <v>1214.24</v>
      </c>
      <c r="L12" s="71">
        <f>'Stage 5'!L12</f>
        <v>0.52</v>
      </c>
      <c r="M12" s="135">
        <f>'Stage 5'!M12</f>
        <v>1214.76</v>
      </c>
      <c r="N12" s="71">
        <f t="shared" si="12"/>
        <v>46</v>
      </c>
      <c r="O12" s="27">
        <f t="shared" si="13"/>
        <v>1260.76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171</v>
      </c>
      <c r="BA12" s="3" t="s">
        <v>172</v>
      </c>
      <c r="BB12" s="3"/>
      <c r="BC12" s="50">
        <f>AG3</f>
        <v>0</v>
      </c>
      <c r="BE12" s="61" t="str">
        <f>'Verification of Boxes'!J17</f>
        <v>HIGGINSON</v>
      </c>
      <c r="BF12" s="64"/>
      <c r="BG12" s="100">
        <f t="shared" si="0"/>
        <v>0</v>
      </c>
      <c r="BH12" s="150"/>
      <c r="BI12" s="5" t="str">
        <f t="shared" si="1"/>
        <v>Elected</v>
      </c>
      <c r="BJ12" s="5">
        <f t="shared" si="2"/>
        <v>0</v>
      </c>
      <c r="BL12" s="3"/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GUY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5'!A13&lt;&gt;0,'Stage 5'!A13,IF(O13&gt;=$M$3,"Elected",IF(BP10&lt;&gt;0,"Excluded",0)))</f>
        <v>Elected</v>
      </c>
      <c r="B13" s="235">
        <f>'Stage 5'!B13</f>
        <v>0</v>
      </c>
      <c r="C13" s="119" t="str">
        <f>'Verification of Boxes'!J12</f>
        <v>EATON</v>
      </c>
      <c r="D13" s="20" t="str">
        <f>'Verification of Boxes'!K12</f>
        <v>Alliance Party</v>
      </c>
      <c r="E13" s="109">
        <f>'Verification of Boxes'!L12</f>
        <v>1116</v>
      </c>
      <c r="F13" s="71">
        <f>'Stage 2'!F13</f>
        <v>5</v>
      </c>
      <c r="G13" s="135">
        <f>'Stage 2'!G13</f>
        <v>1121</v>
      </c>
      <c r="H13" s="71">
        <f>'Stage 3'!H13</f>
        <v>62.16</v>
      </c>
      <c r="I13" s="135">
        <f>'Stage 3'!I13</f>
        <v>1183.1600000000001</v>
      </c>
      <c r="J13" s="71">
        <f>'Stage 4'!J13</f>
        <v>3</v>
      </c>
      <c r="K13" s="135">
        <f>'Stage 4'!K13</f>
        <v>1186.1600000000001</v>
      </c>
      <c r="L13" s="71">
        <f>'Stage 5'!L13</f>
        <v>2.6</v>
      </c>
      <c r="M13" s="135">
        <f>'Stage 5'!M13</f>
        <v>1188.76</v>
      </c>
      <c r="N13" s="71">
        <f t="shared" si="12"/>
        <v>228</v>
      </c>
      <c r="O13" s="27">
        <f t="shared" si="13"/>
        <v>1416.76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119</v>
      </c>
      <c r="AA13" s="124" t="s">
        <v>173</v>
      </c>
      <c r="AB13" s="16"/>
      <c r="AC13" s="16" t="s">
        <v>174</v>
      </c>
      <c r="AD13" s="18"/>
      <c r="AE13" s="16" t="s">
        <v>175</v>
      </c>
      <c r="AF13" s="18" t="s">
        <v>176</v>
      </c>
      <c r="AG13" s="14"/>
      <c r="AI13" s="33"/>
      <c r="AJ13" s="86"/>
      <c r="AK13" s="16"/>
      <c r="AL13" s="333" t="s">
        <v>177</v>
      </c>
      <c r="AM13" s="333" t="s">
        <v>174</v>
      </c>
      <c r="AN13" s="333" t="s">
        <v>178</v>
      </c>
      <c r="AO13" s="333" t="s">
        <v>179</v>
      </c>
      <c r="AP13" s="346"/>
      <c r="AQ13" s="333"/>
      <c r="AR13" s="17"/>
      <c r="AZ13" t="s">
        <v>180</v>
      </c>
      <c r="BA13" s="3" t="s">
        <v>181</v>
      </c>
      <c r="BB13" s="3"/>
      <c r="BC13" s="172"/>
      <c r="BE13" s="61" t="str">
        <f>'Verification of Boxes'!J18</f>
        <v>LEE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L13" s="3"/>
      <c r="BM13" s="3"/>
      <c r="BN13" s="5" t="str">
        <f t="shared" si="11"/>
        <v>Excluded</v>
      </c>
      <c r="BO13" s="7">
        <f t="shared" si="3"/>
        <v>677.76</v>
      </c>
      <c r="BP13" s="66" t="s">
        <v>187</v>
      </c>
      <c r="BR13" s="9" t="str">
        <f>'Verification of Boxes'!J15</f>
        <v>HAMLEY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>IF('Stage 5'!A14&lt;&gt;0,'Stage 5'!A14,IF(O14&gt;=$M$3,"Elected",IF(BP11&lt;&gt;0,"Excluded",0)))</f>
        <v>0</v>
      </c>
      <c r="B14" s="235">
        <f>'Stage 5'!B14</f>
        <v>0</v>
      </c>
      <c r="C14" s="119" t="str">
        <f>'Verification of Boxes'!J13</f>
        <v>GALLEN</v>
      </c>
      <c r="D14" s="20" t="str">
        <f>'Verification of Boxes'!K13</f>
        <v>SDLP</v>
      </c>
      <c r="E14" s="109">
        <f>'Verification of Boxes'!L13</f>
        <v>1035</v>
      </c>
      <c r="F14" s="71">
        <f>'Stage 2'!F14</f>
        <v>0</v>
      </c>
      <c r="G14" s="135">
        <f>'Stage 2'!G14</f>
        <v>1035</v>
      </c>
      <c r="H14" s="71">
        <f>'Stage 3'!H14</f>
        <v>7.08</v>
      </c>
      <c r="I14" s="135">
        <f>'Stage 3'!I14</f>
        <v>1042.08</v>
      </c>
      <c r="J14" s="71">
        <f>'Stage 4'!J14</f>
        <v>2</v>
      </c>
      <c r="K14" s="135">
        <f>'Stage 4'!K14</f>
        <v>1044.08</v>
      </c>
      <c r="L14" s="71">
        <f>'Stage 5'!L14</f>
        <v>2.08</v>
      </c>
      <c r="M14" s="135">
        <f>'Stage 5'!M14</f>
        <v>1046.1599999999999</v>
      </c>
      <c r="N14" s="71">
        <f t="shared" si="12"/>
        <v>100.96</v>
      </c>
      <c r="O14" s="27">
        <f t="shared" si="13"/>
        <v>1147.1199999999999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BASSETT</v>
      </c>
      <c r="AA14" s="93">
        <f>M11</f>
        <v>1000.88</v>
      </c>
      <c r="AB14" s="88"/>
      <c r="AC14" s="99">
        <f t="shared" ref="AC14:AC33" si="18">IF(AA14&gt;0,AA14-AG$4,0)</f>
        <v>-273.12</v>
      </c>
      <c r="AD14" s="123"/>
      <c r="AE14" s="88" t="str">
        <f>IF(Z14=0,0,IF(AA14&gt;=AG$4,"elected",IF(AA14=0,"excluded","continuing")))</f>
        <v>continuing</v>
      </c>
      <c r="AF14" s="88">
        <f t="shared" ref="AF14:AF33" si="19">IF(AE14="elected",AC14,0)</f>
        <v>0</v>
      </c>
      <c r="AG14" s="94">
        <f t="shared" ref="AG14:AG33" si="20">IF(AF14=0,0,(IF(AC14&gt;=0,"transfer largest surplus","progress to exclude")))</f>
        <v>0</v>
      </c>
      <c r="AJ14" s="87"/>
      <c r="AL14" s="310"/>
      <c r="AM14" s="310"/>
      <c r="AN14" s="310"/>
      <c r="AO14" s="310"/>
      <c r="AP14" s="309"/>
      <c r="AQ14" s="310"/>
      <c r="AR14" s="169"/>
      <c r="AZ14" t="s">
        <v>182</v>
      </c>
      <c r="BA14" s="3" t="s">
        <v>183</v>
      </c>
      <c r="BB14" s="3"/>
      <c r="BC14" s="162"/>
      <c r="BE14" s="61" t="str">
        <f>'Verification of Boxes'!J19</f>
        <v>MCKEEVER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>
        <f t="shared" si="11"/>
        <v>0</v>
      </c>
      <c r="BO14" s="7">
        <f t="shared" si="3"/>
        <v>1001.68</v>
      </c>
      <c r="BP14" s="66"/>
      <c r="BR14" s="9" t="str">
        <f>'Verification of Boxes'!J16</f>
        <v>HENDERSON</v>
      </c>
      <c r="BS14" s="64">
        <v>32</v>
      </c>
      <c r="BT14" s="5">
        <f t="shared" si="4"/>
        <v>32</v>
      </c>
      <c r="BU14" s="64">
        <v>4</v>
      </c>
      <c r="BV14" s="5">
        <f t="shared" si="5"/>
        <v>4</v>
      </c>
      <c r="BW14" s="64">
        <v>2</v>
      </c>
      <c r="BX14" s="5">
        <f t="shared" si="6"/>
        <v>1.04</v>
      </c>
      <c r="BY14" s="64">
        <v>3</v>
      </c>
      <c r="BZ14" s="5">
        <f t="shared" si="7"/>
        <v>0.36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37.4</v>
      </c>
    </row>
    <row r="15" spans="1:105" ht="15" customHeight="1" thickBot="1" x14ac:dyDescent="0.3">
      <c r="A15" s="20" t="str">
        <f>IF('Stage 5'!A15&lt;&gt;0,'Stage 5'!A15,IF(O15&gt;=$M$3,"Elected",IF(BP12&lt;&gt;0,"Excluded",0)))</f>
        <v>Elected</v>
      </c>
      <c r="B15" s="235">
        <f>'Stage 5'!B15</f>
        <v>0</v>
      </c>
      <c r="C15" s="119" t="str">
        <f>'Verification of Boxes'!J14</f>
        <v>GUY</v>
      </c>
      <c r="D15" s="20" t="str">
        <f>'Verification of Boxes'!K14</f>
        <v>Alliance Party</v>
      </c>
      <c r="E15" s="109">
        <f>'Verification of Boxes'!L14</f>
        <v>1452</v>
      </c>
      <c r="F15" s="71">
        <f>'Stage 2'!F15</f>
        <v>0</v>
      </c>
      <c r="G15" s="135">
        <f>'Stage 2'!G15</f>
        <v>1452</v>
      </c>
      <c r="H15" s="71">
        <f>'Stage 3'!H15</f>
        <v>-178</v>
      </c>
      <c r="I15" s="135">
        <f>'Stage 3'!I15</f>
        <v>1274</v>
      </c>
      <c r="J15" s="71">
        <f>'Stage 4'!J15</f>
        <v>0</v>
      </c>
      <c r="K15" s="135">
        <f>'Stage 4'!K15</f>
        <v>1274</v>
      </c>
      <c r="L15" s="71">
        <f>'Stage 5'!L15</f>
        <v>0</v>
      </c>
      <c r="M15" s="135">
        <f>'Stage 5'!M15</f>
        <v>1274</v>
      </c>
      <c r="N15" s="71">
        <f t="shared" si="12"/>
        <v>0</v>
      </c>
      <c r="O15" s="27">
        <f t="shared" si="13"/>
        <v>1274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CARLIN</v>
      </c>
      <c r="AA15" s="37">
        <f>M12</f>
        <v>1214.76</v>
      </c>
      <c r="AB15" s="5"/>
      <c r="AC15" s="100">
        <f t="shared" si="18"/>
        <v>-59.240000000000009</v>
      </c>
      <c r="AD15" s="110"/>
      <c r="AE15" s="5" t="str">
        <f t="shared" ref="AE15:AE33" si="21">IF(Z15=0,0,IF(AA15&gt;=AG$4,"elected",IF(AA15=0,"excluded","continuing")))</f>
        <v>continuing</v>
      </c>
      <c r="AF15" s="5">
        <f t="shared" si="19"/>
        <v>0</v>
      </c>
      <c r="AG15" s="96">
        <f t="shared" si="20"/>
        <v>0</v>
      </c>
      <c r="AJ15" s="87"/>
      <c r="AL15" s="310"/>
      <c r="AM15" s="310"/>
      <c r="AN15" s="310"/>
      <c r="AO15" s="310"/>
      <c r="AP15" s="309"/>
      <c r="AQ15" s="310"/>
      <c r="AR15" s="169"/>
      <c r="BA15" s="3"/>
      <c r="BB15" s="3"/>
      <c r="BC15" s="2"/>
      <c r="BE15" s="61" t="str">
        <f>'Verification of Boxes'!J20</f>
        <v>MILLER</v>
      </c>
      <c r="BF15" s="64"/>
      <c r="BG15" s="100">
        <f t="shared" si="0"/>
        <v>0</v>
      </c>
      <c r="BH15" s="150"/>
      <c r="BI15" s="5" t="str">
        <f t="shared" si="1"/>
        <v>Excluded</v>
      </c>
      <c r="BJ15" s="5" t="str">
        <f t="shared" si="2"/>
        <v>Excluded</v>
      </c>
      <c r="BL15" s="3"/>
      <c r="BM15" s="3"/>
      <c r="BN15" s="5" t="str">
        <f t="shared" si="11"/>
        <v>Elected</v>
      </c>
      <c r="BO15" s="7" t="str">
        <f t="shared" si="3"/>
        <v>Elected</v>
      </c>
      <c r="BP15" s="66"/>
      <c r="BR15" s="9" t="str">
        <f>'Verification of Boxes'!J17</f>
        <v>HIGGINSON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5'!A16&lt;&gt;0,'Stage 5'!A16,IF(O16&gt;=$M$3,"Elected",IF(BP13&lt;&gt;0,"Excluded",0)))</f>
        <v>Excluded</v>
      </c>
      <c r="B16" s="235">
        <f>'Stage 5'!B16</f>
        <v>0</v>
      </c>
      <c r="C16" s="119" t="str">
        <f>'Verification of Boxes'!J15</f>
        <v>HAMLEY</v>
      </c>
      <c r="D16" s="20" t="str">
        <f>'Verification of Boxes'!K15</f>
        <v>Green Party NI</v>
      </c>
      <c r="E16" s="109">
        <f>'Verification of Boxes'!L15</f>
        <v>656</v>
      </c>
      <c r="F16" s="71">
        <f>'Stage 2'!F16</f>
        <v>11</v>
      </c>
      <c r="G16" s="135">
        <f>'Stage 2'!G16</f>
        <v>667</v>
      </c>
      <c r="H16" s="71">
        <f>'Stage 3'!H16</f>
        <v>8.16</v>
      </c>
      <c r="I16" s="135">
        <f>'Stage 3'!I16</f>
        <v>675.16</v>
      </c>
      <c r="J16" s="71">
        <f>'Stage 4'!J16</f>
        <v>0</v>
      </c>
      <c r="K16" s="135">
        <f>'Stage 4'!K16</f>
        <v>675.16</v>
      </c>
      <c r="L16" s="71">
        <f>'Stage 5'!L16</f>
        <v>2.6</v>
      </c>
      <c r="M16" s="135">
        <f>'Stage 5'!M16</f>
        <v>677.76</v>
      </c>
      <c r="N16" s="71">
        <f t="shared" si="12"/>
        <v>-677.76</v>
      </c>
      <c r="O16" s="27">
        <f t="shared" si="13"/>
        <v>0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EATON</v>
      </c>
      <c r="AA16" s="37">
        <f t="shared" ref="AA16:AA33" si="22">M13</f>
        <v>1188.76</v>
      </c>
      <c r="AB16" s="5"/>
      <c r="AC16" s="100">
        <f t="shared" si="18"/>
        <v>-85.240000000000009</v>
      </c>
      <c r="AD16" s="110"/>
      <c r="AE16" s="5" t="str">
        <f t="shared" si="21"/>
        <v>continuing</v>
      </c>
      <c r="AF16" s="5">
        <f t="shared" si="19"/>
        <v>0</v>
      </c>
      <c r="AG16" s="96">
        <f t="shared" si="20"/>
        <v>0</v>
      </c>
      <c r="AJ16" s="87"/>
      <c r="AL16" s="310"/>
      <c r="AM16" s="310"/>
      <c r="AN16" s="310"/>
      <c r="AO16" s="310"/>
      <c r="AP16" s="309"/>
      <c r="AQ16" s="310"/>
      <c r="AR16" s="169"/>
      <c r="AZ16" t="s">
        <v>184</v>
      </c>
      <c r="BA16" s="3"/>
      <c r="BB16" s="3"/>
      <c r="BC16" s="2"/>
      <c r="BE16" s="61" t="str">
        <f>'Verification of Boxes'!J21</f>
        <v>TRAYNOR</v>
      </c>
      <c r="BF16" s="64"/>
      <c r="BG16" s="100">
        <f t="shared" si="0"/>
        <v>0</v>
      </c>
      <c r="BH16" s="150"/>
      <c r="BI16" s="5" t="str">
        <f t="shared" si="1"/>
        <v>Excluded</v>
      </c>
      <c r="BJ16" s="5" t="str">
        <f t="shared" si="2"/>
        <v>Excluded</v>
      </c>
      <c r="BL16" s="3"/>
      <c r="BM16" s="3"/>
      <c r="BN16" s="5">
        <f t="shared" si="11"/>
        <v>0</v>
      </c>
      <c r="BO16" s="7">
        <f t="shared" si="3"/>
        <v>688.44</v>
      </c>
      <c r="BP16" s="66"/>
      <c r="BR16" s="9" t="str">
        <f>'Verification of Boxes'!J18</f>
        <v>LEE</v>
      </c>
      <c r="BS16" s="64">
        <v>72</v>
      </c>
      <c r="BT16" s="5">
        <f t="shared" si="4"/>
        <v>72</v>
      </c>
      <c r="BU16" s="64"/>
      <c r="BV16" s="5">
        <f t="shared" si="5"/>
        <v>0</v>
      </c>
      <c r="BW16" s="64"/>
      <c r="BX16" s="5">
        <f t="shared" si="6"/>
        <v>0</v>
      </c>
      <c r="BY16" s="64">
        <v>10</v>
      </c>
      <c r="BZ16" s="5">
        <f t="shared" si="7"/>
        <v>1.2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73.2</v>
      </c>
    </row>
    <row r="17" spans="1:83" ht="15" customHeight="1" thickBot="1" x14ac:dyDescent="0.3">
      <c r="A17" s="20">
        <f>IF('Stage 5'!A17&lt;&gt;0,'Stage 5'!A17,IF(O17&gt;=$M$3,"Elected",IF(BP14&lt;&gt;0,"Excluded",0)))</f>
        <v>0</v>
      </c>
      <c r="B17" s="235">
        <f>'Stage 5'!B17</f>
        <v>0</v>
      </c>
      <c r="C17" s="119" t="str">
        <f>'Verification of Boxes'!J16</f>
        <v>HENDERSON</v>
      </c>
      <c r="D17" s="20" t="str">
        <f>'Verification of Boxes'!K16</f>
        <v>UUP</v>
      </c>
      <c r="E17" s="109">
        <f>'Verification of Boxes'!L16</f>
        <v>760</v>
      </c>
      <c r="F17" s="71">
        <f>'Stage 2'!F17</f>
        <v>4</v>
      </c>
      <c r="G17" s="135">
        <f>'Stage 2'!G17</f>
        <v>764</v>
      </c>
      <c r="H17" s="71">
        <f>'Stage 3'!H17</f>
        <v>4.92</v>
      </c>
      <c r="I17" s="135">
        <f>'Stage 3'!I17</f>
        <v>768.92</v>
      </c>
      <c r="J17" s="71">
        <f>'Stage 4'!J17</f>
        <v>18</v>
      </c>
      <c r="K17" s="135">
        <f>'Stage 4'!K17</f>
        <v>786.92</v>
      </c>
      <c r="L17" s="71">
        <f>'Stage 5'!L17</f>
        <v>214.76000000000002</v>
      </c>
      <c r="M17" s="135">
        <f>'Stage 5'!M17</f>
        <v>1001.68</v>
      </c>
      <c r="N17" s="71">
        <f t="shared" si="12"/>
        <v>37.4</v>
      </c>
      <c r="O17" s="27">
        <f t="shared" si="13"/>
        <v>1039.08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GALLEN</v>
      </c>
      <c r="AA17" s="37">
        <f t="shared" si="22"/>
        <v>1046.1599999999999</v>
      </c>
      <c r="AB17" s="5"/>
      <c r="AC17" s="100">
        <f t="shared" si="18"/>
        <v>-227.84000000000015</v>
      </c>
      <c r="AD17" s="110"/>
      <c r="AE17" s="5" t="str">
        <f t="shared" si="21"/>
        <v>continuing</v>
      </c>
      <c r="AF17" s="5">
        <f t="shared" si="19"/>
        <v>0</v>
      </c>
      <c r="AG17" s="96">
        <f t="shared" si="20"/>
        <v>0</v>
      </c>
      <c r="AJ17" s="87"/>
      <c r="AL17" s="310"/>
      <c r="AM17" s="310"/>
      <c r="AN17" s="310"/>
      <c r="AO17" s="310"/>
      <c r="AP17" s="309"/>
      <c r="AQ17" s="310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802.12</v>
      </c>
      <c r="BP17" s="66"/>
      <c r="BR17" s="9" t="str">
        <f>'Verification of Boxes'!J19</f>
        <v>MCKEEVER</v>
      </c>
      <c r="BS17" s="64">
        <v>117</v>
      </c>
      <c r="BT17" s="5">
        <f t="shared" si="4"/>
        <v>117</v>
      </c>
      <c r="BU17" s="64">
        <v>2</v>
      </c>
      <c r="BV17" s="5">
        <f t="shared" si="5"/>
        <v>2</v>
      </c>
      <c r="BW17" s="64"/>
      <c r="BX17" s="5">
        <f t="shared" si="6"/>
        <v>0</v>
      </c>
      <c r="BY17" s="64">
        <v>41</v>
      </c>
      <c r="BZ17" s="5">
        <f t="shared" si="7"/>
        <v>4.92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123.92</v>
      </c>
    </row>
    <row r="18" spans="1:83" ht="15" customHeight="1" thickBot="1" x14ac:dyDescent="0.3">
      <c r="A18" s="20" t="str">
        <f>IF('Stage 5'!A18&lt;&gt;0,'Stage 5'!A18,IF(O18&gt;=$M$3,"Elected",IF(BP15&lt;&gt;0,"Excluded",0)))</f>
        <v>Elected</v>
      </c>
      <c r="B18" s="235">
        <f>'Stage 5'!B18</f>
        <v>0</v>
      </c>
      <c r="C18" s="119" t="str">
        <f>'Verification of Boxes'!J17</f>
        <v>HIGGINSON</v>
      </c>
      <c r="D18" s="20" t="str">
        <f>'Verification of Boxes'!K17</f>
        <v>D.U.P.</v>
      </c>
      <c r="E18" s="109">
        <f>'Verification of Boxes'!L17</f>
        <v>1006</v>
      </c>
      <c r="F18" s="71">
        <f>'Stage 2'!F18</f>
        <v>3</v>
      </c>
      <c r="G18" s="135">
        <f>'Stage 2'!G18</f>
        <v>1009</v>
      </c>
      <c r="H18" s="71">
        <f>'Stage 3'!H18</f>
        <v>0.6</v>
      </c>
      <c r="I18" s="135">
        <f>'Stage 3'!I18</f>
        <v>1009.6</v>
      </c>
      <c r="J18" s="71">
        <f>'Stage 4'!J18</f>
        <v>498.12</v>
      </c>
      <c r="K18" s="135">
        <f>'Stage 4'!K18</f>
        <v>1507.72</v>
      </c>
      <c r="L18" s="71">
        <f>'Stage 5'!L18</f>
        <v>-233.72000000000003</v>
      </c>
      <c r="M18" s="135">
        <f>'Stage 5'!M18</f>
        <v>1274</v>
      </c>
      <c r="N18" s="71">
        <f t="shared" si="12"/>
        <v>0</v>
      </c>
      <c r="O18" s="27">
        <f t="shared" si="13"/>
        <v>1274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GUY</v>
      </c>
      <c r="AA18" s="37">
        <f t="shared" si="22"/>
        <v>1274</v>
      </c>
      <c r="AB18" s="5"/>
      <c r="AC18" s="100">
        <f t="shared" si="18"/>
        <v>0</v>
      </c>
      <c r="AD18" s="110"/>
      <c r="AE18" s="5" t="str">
        <f t="shared" si="21"/>
        <v>elected</v>
      </c>
      <c r="AF18" s="5">
        <f t="shared" si="19"/>
        <v>0</v>
      </c>
      <c r="AG18" s="96">
        <f t="shared" si="20"/>
        <v>0</v>
      </c>
      <c r="AJ18" s="87"/>
      <c r="AN18" s="310"/>
      <c r="AR18" s="169"/>
      <c r="AZ18" t="s">
        <v>185</v>
      </c>
      <c r="BA18" s="3" t="s">
        <v>186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 t="str">
        <f t="shared" si="11"/>
        <v>Excluded</v>
      </c>
      <c r="BO18" s="7">
        <f t="shared" si="3"/>
        <v>0</v>
      </c>
      <c r="BP18" s="66"/>
      <c r="BR18" s="9" t="str">
        <f>'Verification of Boxes'!J20</f>
        <v>MILLER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5'!A19&lt;&gt;0,'Stage 5'!A19,IF(O19&gt;=$M$3,"Elected",IF(BP16&lt;&gt;0,"Excluded",0)))</f>
        <v>0</v>
      </c>
      <c r="B19" s="235">
        <f>'Stage 5'!B19</f>
        <v>0</v>
      </c>
      <c r="C19" s="119" t="str">
        <f>'Verification of Boxes'!J18</f>
        <v>LEE</v>
      </c>
      <c r="D19" s="20" t="str">
        <f>'Verification of Boxes'!K18</f>
        <v xml:space="preserve">SDLP </v>
      </c>
      <c r="E19" s="109">
        <f>'Verification of Boxes'!L18</f>
        <v>656</v>
      </c>
      <c r="F19" s="71">
        <f>'Stage 2'!F19</f>
        <v>6</v>
      </c>
      <c r="G19" s="135">
        <f>'Stage 2'!G19</f>
        <v>662</v>
      </c>
      <c r="H19" s="71">
        <f>'Stage 3'!H19</f>
        <v>21.36</v>
      </c>
      <c r="I19" s="135">
        <f>'Stage 3'!I19</f>
        <v>683.36</v>
      </c>
      <c r="J19" s="71">
        <f>'Stage 4'!J19</f>
        <v>3</v>
      </c>
      <c r="K19" s="135">
        <f>'Stage 4'!K19</f>
        <v>686.36</v>
      </c>
      <c r="L19" s="71">
        <f>'Stage 5'!L19</f>
        <v>2.08</v>
      </c>
      <c r="M19" s="135">
        <f>'Stage 5'!M19</f>
        <v>688.44</v>
      </c>
      <c r="N19" s="71">
        <f t="shared" si="12"/>
        <v>73.2</v>
      </c>
      <c r="O19" s="27">
        <f t="shared" si="13"/>
        <v>761.6400000000001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HAMLEY</v>
      </c>
      <c r="AA19" s="37">
        <f t="shared" si="22"/>
        <v>677.76</v>
      </c>
      <c r="AB19" s="5"/>
      <c r="AC19" s="100">
        <f t="shared" si="18"/>
        <v>-596.24</v>
      </c>
      <c r="AD19" s="110"/>
      <c r="AE19" s="5" t="str">
        <f t="shared" si="21"/>
        <v>continuing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7"/>
      <c r="AO19" s="178"/>
      <c r="AP19" s="178"/>
      <c r="AQ19" s="178"/>
      <c r="AR19" s="179"/>
      <c r="AZ19" t="s">
        <v>188</v>
      </c>
      <c r="BA19" s="3" t="s">
        <v>189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 t="str">
        <f t="shared" si="11"/>
        <v>Excluded</v>
      </c>
      <c r="BO19" s="7">
        <f t="shared" si="3"/>
        <v>0</v>
      </c>
      <c r="BP19" s="66"/>
      <c r="BR19" s="9" t="str">
        <f>'Verification of Boxes'!J21</f>
        <v>TRAYNOR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 t="str">
        <f>'Verification of Boxes'!J19</f>
        <v>MCKEEVER</v>
      </c>
      <c r="D20" s="20" t="str">
        <f>'Verification of Boxes'!K19</f>
        <v>Alliance Party</v>
      </c>
      <c r="E20" s="109">
        <f>'Verification of Boxes'!L19</f>
        <v>727</v>
      </c>
      <c r="F20" s="71">
        <f>'Stage 2'!F20</f>
        <v>7</v>
      </c>
      <c r="G20" s="135">
        <f>'Stage 2'!G20</f>
        <v>734</v>
      </c>
      <c r="H20" s="71">
        <f>'Stage 3'!H20</f>
        <v>59.879999999999995</v>
      </c>
      <c r="I20" s="135">
        <f>'Stage 3'!I20</f>
        <v>793.88</v>
      </c>
      <c r="J20" s="71">
        <f>'Stage 4'!J20</f>
        <v>2</v>
      </c>
      <c r="K20" s="135">
        <f>'Stage 4'!K20</f>
        <v>795.88</v>
      </c>
      <c r="L20" s="71">
        <f>'Stage 5'!L20</f>
        <v>6.24</v>
      </c>
      <c r="M20" s="135">
        <f>'Stage 5'!M20</f>
        <v>802.12</v>
      </c>
      <c r="N20" s="71">
        <f t="shared" si="12"/>
        <v>123.92</v>
      </c>
      <c r="O20" s="27">
        <f t="shared" si="13"/>
        <v>926.04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HENDERSON</v>
      </c>
      <c r="AA20" s="37">
        <f t="shared" si="22"/>
        <v>1001.68</v>
      </c>
      <c r="AB20" s="5"/>
      <c r="AC20" s="100">
        <f t="shared" si="18"/>
        <v>-272.32000000000005</v>
      </c>
      <c r="AD20" s="110"/>
      <c r="AE20" s="5" t="str">
        <f t="shared" si="21"/>
        <v>continuing</v>
      </c>
      <c r="AF20" s="5">
        <f t="shared" si="19"/>
        <v>0</v>
      </c>
      <c r="AG20" s="96">
        <f t="shared" si="20"/>
        <v>0</v>
      </c>
      <c r="AJ20" s="344" t="s">
        <v>190</v>
      </c>
      <c r="AK20" s="345"/>
      <c r="AL20" s="142">
        <f>AL46</f>
        <v>677.76</v>
      </c>
      <c r="AM20" s="118"/>
      <c r="AN20" s="142">
        <f>AL20+AG2</f>
        <v>677.76</v>
      </c>
      <c r="AO20" s="348" t="str">
        <f>IF(AN20&gt;AG4,0,IF(AN20&lt;AL21,"Exclude lowest candidate",0))</f>
        <v>Exclude lowest candidate</v>
      </c>
      <c r="AP20" s="349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 t="str">
        <f>IF('Stage 5'!A21&lt;&gt;0,'Stage 5'!A21,IF(O21&gt;=$M$3,"Elected",IF(BP18&lt;&gt;0,"Excluded",0)))</f>
        <v>Excluded</v>
      </c>
      <c r="B21" s="235">
        <f>'Stage 5'!B21</f>
        <v>0</v>
      </c>
      <c r="C21" s="119" t="str">
        <f>'Verification of Boxes'!J20</f>
        <v>MILLER</v>
      </c>
      <c r="D21" s="20" t="str">
        <f>'Verification of Boxes'!K20</f>
        <v>Independent</v>
      </c>
      <c r="E21" s="109">
        <f>'Verification of Boxes'!L20</f>
        <v>49</v>
      </c>
      <c r="F21" s="71">
        <f>'Stage 2'!F21</f>
        <v>-49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HIGGINSON</v>
      </c>
      <c r="AA21" s="37">
        <f t="shared" si="22"/>
        <v>1274</v>
      </c>
      <c r="AB21" s="5"/>
      <c r="AC21" s="100">
        <f t="shared" si="18"/>
        <v>0</v>
      </c>
      <c r="AD21" s="110"/>
      <c r="AE21" s="5" t="str">
        <f t="shared" si="21"/>
        <v>elected</v>
      </c>
      <c r="AF21" s="5">
        <f t="shared" si="19"/>
        <v>0</v>
      </c>
      <c r="AG21" s="96">
        <f t="shared" si="20"/>
        <v>0</v>
      </c>
      <c r="AJ21" s="327" t="s">
        <v>191</v>
      </c>
      <c r="AK21" s="275"/>
      <c r="AL21" s="37">
        <f>IF(AL20=1000000,0,AN46)</f>
        <v>688.44</v>
      </c>
      <c r="AM21" s="5">
        <f>AL21-AL20</f>
        <v>10.680000000000064</v>
      </c>
      <c r="AN21" s="5">
        <f>IF(AL21=1000000,0,IF(AN20=0,0,AN20+AL21))</f>
        <v>1366.2</v>
      </c>
      <c r="AO21" s="328">
        <f>IF(AN21&gt;AG4,0,IF(AV20&lt;&gt;0,0,IF(AN21&lt;AL22,"Exclude lowest 2 candidates",0)))</f>
        <v>0</v>
      </c>
      <c r="AP21" s="329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192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 t="str">
        <f>IF('Stage 5'!A22&lt;&gt;0,'Stage 5'!A22,IF(O22&gt;=$M$3,"Elected",IF(BP19&lt;&gt;0,"Excluded",0)))</f>
        <v>Excluded</v>
      </c>
      <c r="B22" s="235">
        <f>'Stage 5'!B22</f>
        <v>0</v>
      </c>
      <c r="C22" s="119" t="str">
        <f>'Verification of Boxes'!J21</f>
        <v>TRAYNOR</v>
      </c>
      <c r="D22" s="20" t="str">
        <f>'Verification of Boxes'!K21</f>
        <v>D.U.P.</v>
      </c>
      <c r="E22" s="109">
        <f>'Verification of Boxes'!L21</f>
        <v>527</v>
      </c>
      <c r="F22" s="71">
        <f>'Stage 2'!F22</f>
        <v>1</v>
      </c>
      <c r="G22" s="135">
        <f>'Stage 2'!G22</f>
        <v>528</v>
      </c>
      <c r="H22" s="71">
        <f>'Stage 3'!H22</f>
        <v>0.12</v>
      </c>
      <c r="I22" s="135">
        <f>'Stage 3'!I22</f>
        <v>528.12</v>
      </c>
      <c r="J22" s="71">
        <f>'Stage 4'!J22</f>
        <v>-528.12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 t="str">
        <f>'Verification of Boxes'!J18</f>
        <v>LEE</v>
      </c>
      <c r="AA22" s="37">
        <f t="shared" si="22"/>
        <v>688.44</v>
      </c>
      <c r="AB22" s="5"/>
      <c r="AC22" s="100">
        <f t="shared" si="18"/>
        <v>-585.55999999999995</v>
      </c>
      <c r="AD22" s="110"/>
      <c r="AE22" s="5" t="str">
        <f t="shared" si="21"/>
        <v>continuing</v>
      </c>
      <c r="AF22" s="5">
        <f t="shared" si="19"/>
        <v>0</v>
      </c>
      <c r="AG22" s="96">
        <f t="shared" si="20"/>
        <v>0</v>
      </c>
      <c r="AJ22" s="327" t="s">
        <v>191</v>
      </c>
      <c r="AK22" s="275"/>
      <c r="AL22" s="37">
        <f>IF(AL21=1000000,0,AP46)</f>
        <v>802.12</v>
      </c>
      <c r="AM22" s="5">
        <f>IF(AL22=1000000,0,IF(AM21=0,0,AL22-AL21))</f>
        <v>113.67999999999995</v>
      </c>
      <c r="AN22" s="5">
        <f>IF(AL22=1000000,0,IF(AN21=0,0,AN21+AL22))</f>
        <v>2168.3200000000002</v>
      </c>
      <c r="AO22" s="328">
        <f>IF(AN22&gt;AG4,0,IF(AV21&lt;&gt;0,0,IF(AN22&lt;AL23,"Exclude lowest 3 candidates",0)))</f>
        <v>0</v>
      </c>
      <c r="AP22" s="329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8" t="s">
        <v>193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 t="str">
        <f>'Verification of Boxes'!J19</f>
        <v>MCKEEVER</v>
      </c>
      <c r="AA23" s="37">
        <f t="shared" si="22"/>
        <v>802.12</v>
      </c>
      <c r="AB23" s="5"/>
      <c r="AC23" s="100">
        <f t="shared" si="18"/>
        <v>-471.88</v>
      </c>
      <c r="AD23" s="110"/>
      <c r="AE23" s="5" t="str">
        <f t="shared" si="21"/>
        <v>continuing</v>
      </c>
      <c r="AF23" s="5">
        <f t="shared" si="19"/>
        <v>0</v>
      </c>
      <c r="AG23" s="96">
        <f t="shared" si="20"/>
        <v>0</v>
      </c>
      <c r="AJ23" s="327" t="s">
        <v>191</v>
      </c>
      <c r="AK23" s="275"/>
      <c r="AL23" s="37">
        <f>IF(AL22=1000000,0,AR46)</f>
        <v>1000.88</v>
      </c>
      <c r="AM23" s="5">
        <f>IF(AL23=1000000,0,IF(AM22=0,0,AL23-AL22))</f>
        <v>198.76</v>
      </c>
      <c r="AN23" s="5">
        <f>IF(AL23=1000000,0,IF(AN22=0,0,AN22+AL23))</f>
        <v>3169.2000000000003</v>
      </c>
      <c r="AO23" s="328">
        <f>IF(AN23&gt;AG4,0,IF(AV22&lt;&gt;0,0,IF(AN23&lt;AL24,"Exclude lowest 4 candidates",0)))</f>
        <v>0</v>
      </c>
      <c r="AP23" s="329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8"/>
      <c r="BA23" s="3" t="s">
        <v>194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 t="str">
        <f>'Verification of Boxes'!J20</f>
        <v>MILLER</v>
      </c>
      <c r="AA24" s="37">
        <f t="shared" si="22"/>
        <v>0</v>
      </c>
      <c r="AB24" s="5"/>
      <c r="AC24" s="100">
        <f t="shared" si="18"/>
        <v>0</v>
      </c>
      <c r="AD24" s="110"/>
      <c r="AE24" s="5" t="str">
        <f t="shared" si="21"/>
        <v>excluded</v>
      </c>
      <c r="AF24" s="5">
        <f t="shared" si="19"/>
        <v>0</v>
      </c>
      <c r="AG24" s="96">
        <f t="shared" si="20"/>
        <v>0</v>
      </c>
      <c r="AJ24" s="327" t="s">
        <v>191</v>
      </c>
      <c r="AK24" s="275"/>
      <c r="AL24" s="37">
        <f>IF(AR46=1000000,0,AU46)</f>
        <v>1001.68</v>
      </c>
      <c r="AM24" s="5">
        <f>IF(AL24=1000000,0,IF(AM23=0,0,AL24-AL23))</f>
        <v>0.79999999999995453</v>
      </c>
      <c r="AN24" s="5">
        <f>IF(AL24=1000000,0,IF(AN23=0,0,AN23+AL24))</f>
        <v>4170.88</v>
      </c>
      <c r="AO24" s="328">
        <f>IF(AN24&gt;AG4,0,IF(AV23&lt;&gt;0,0,IF(AN24&lt;AL25,"Exclude lowest 5 candidates",0)))</f>
        <v>0</v>
      </c>
      <c r="AP24" s="329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195</v>
      </c>
      <c r="BA24" s="3" t="s">
        <v>196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 t="str">
        <f>'Verification of Boxes'!J21</f>
        <v>TRAYNOR</v>
      </c>
      <c r="AA25" s="37">
        <f t="shared" si="22"/>
        <v>0</v>
      </c>
      <c r="AB25" s="5"/>
      <c r="AC25" s="100">
        <f t="shared" si="18"/>
        <v>0</v>
      </c>
      <c r="AD25" s="110"/>
      <c r="AE25" s="5" t="str">
        <f t="shared" si="21"/>
        <v>excluded</v>
      </c>
      <c r="AF25" s="5">
        <f t="shared" si="19"/>
        <v>0</v>
      </c>
      <c r="AG25" s="96">
        <f t="shared" si="20"/>
        <v>0</v>
      </c>
      <c r="AJ25" s="325" t="s">
        <v>191</v>
      </c>
      <c r="AK25" s="326"/>
      <c r="AL25" s="89">
        <f>IF(AL24=1000000,0,AW46)</f>
        <v>1046.1599999999999</v>
      </c>
      <c r="AM25" s="90">
        <f>IF(AL25=1000000,0,IF(AM24=0,0,AL25-AL24))</f>
        <v>44.479999999999905</v>
      </c>
      <c r="AN25" s="90">
        <f>IF(AL25=1000000,0,IF(AN24=0,0,AN24+AL25))</f>
        <v>5217.04</v>
      </c>
      <c r="AO25" s="330">
        <f>IF(AN25&gt;AG4,0,IF(AV24&lt;&gt;0,0,IF(AN25&lt;AL26,"CHECK ! Exclude lowest 6 candidates",0)))</f>
        <v>0</v>
      </c>
      <c r="AP25" s="331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197</v>
      </c>
      <c r="BA25" s="3" t="s">
        <v>198</v>
      </c>
      <c r="BB25" s="3"/>
      <c r="BC25" s="50">
        <f>IF(BC19&gt;BC12,BC12-BC24,0)</f>
        <v>0</v>
      </c>
      <c r="BE25" s="61" t="s">
        <v>199</v>
      </c>
      <c r="BF25" s="5">
        <f>SUM(BF5:BF24)</f>
        <v>0</v>
      </c>
      <c r="BG25" s="100">
        <f>SUM(BG5:BG24)</f>
        <v>0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200</v>
      </c>
      <c r="BF26" s="64"/>
      <c r="BG26" s="100">
        <f>IF(AT5="T",BC25+BC31,0)</f>
        <v>0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1</v>
      </c>
      <c r="AV27" s="5">
        <f>AU27</f>
        <v>1</v>
      </c>
      <c r="AW27" s="5">
        <f t="shared" ref="AW27:AW32" si="24">IF(AN20&lt;AM21,1,0)</f>
        <v>0</v>
      </c>
      <c r="AZ27" t="s">
        <v>201</v>
      </c>
      <c r="BA27" s="3"/>
      <c r="BB27" s="3"/>
      <c r="BC27" s="2"/>
      <c r="BE27" s="51" t="s">
        <v>202</v>
      </c>
      <c r="BF27" s="90">
        <f>BF25+BF26</f>
        <v>0</v>
      </c>
      <c r="BG27" s="101">
        <f>SUM(BG25:BG26)</f>
        <v>0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52" t="s">
        <v>203</v>
      </c>
      <c r="AM28" s="353"/>
      <c r="AN28" s="353"/>
      <c r="AO28" s="353"/>
      <c r="AP28" s="353"/>
      <c r="AQ28" s="354"/>
      <c r="AT28" s="5">
        <f>AT27+AW28</f>
        <v>0</v>
      </c>
      <c r="AU28" s="5">
        <f t="shared" si="23"/>
        <v>0</v>
      </c>
      <c r="AV28" s="5">
        <f>AV27+AU28</f>
        <v>1</v>
      </c>
      <c r="AW28" s="5">
        <f t="shared" si="24"/>
        <v>0</v>
      </c>
      <c r="BA28" s="3"/>
      <c r="BB28" s="3"/>
      <c r="BC28" s="2"/>
      <c r="BR28" s="19" t="s">
        <v>127</v>
      </c>
      <c r="BS28" s="63">
        <v>27</v>
      </c>
      <c r="BT28" s="119">
        <f t="shared" si="4"/>
        <v>27</v>
      </c>
      <c r="BU28" s="63">
        <v>4</v>
      </c>
      <c r="BV28" s="119">
        <f t="shared" si="5"/>
        <v>4</v>
      </c>
      <c r="BW28" s="63">
        <v>3</v>
      </c>
      <c r="BX28" s="119">
        <f t="shared" si="6"/>
        <v>1.56</v>
      </c>
      <c r="BY28" s="63">
        <v>3</v>
      </c>
      <c r="BZ28" s="119">
        <f t="shared" si="7"/>
        <v>0.36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32.92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55"/>
      <c r="AM29" s="356"/>
      <c r="AN29" s="356"/>
      <c r="AO29" s="356"/>
      <c r="AP29" s="356"/>
      <c r="AQ29" s="357"/>
      <c r="AT29" s="5">
        <f>AT28+AW29</f>
        <v>0</v>
      </c>
      <c r="AU29" s="5">
        <f t="shared" si="23"/>
        <v>0</v>
      </c>
      <c r="AV29" s="5">
        <f>AV28+AU29</f>
        <v>1</v>
      </c>
      <c r="AW29" s="5">
        <f t="shared" si="24"/>
        <v>0</v>
      </c>
      <c r="AZ29" t="s">
        <v>204</v>
      </c>
      <c r="BA29" s="3" t="s">
        <v>183</v>
      </c>
      <c r="BB29" s="3"/>
      <c r="BC29" s="171">
        <f>IF(BC19&lt;=BC12,BC14,0)</f>
        <v>0</v>
      </c>
      <c r="BE29" s="3" t="s">
        <v>205</v>
      </c>
      <c r="BF29">
        <f>BC13</f>
        <v>0</v>
      </c>
      <c r="BR29" s="5" t="s">
        <v>206</v>
      </c>
      <c r="BS29" s="118">
        <f>SUM(BS8:BS28)</f>
        <v>656</v>
      </c>
      <c r="BT29" s="5">
        <f t="shared" si="4"/>
        <v>656</v>
      </c>
      <c r="BU29" s="118">
        <f>SUM(BU8:BU28)</f>
        <v>11</v>
      </c>
      <c r="BV29" s="5">
        <f t="shared" si="5"/>
        <v>11</v>
      </c>
      <c r="BW29" s="118">
        <f>SUM(BW8:BW28)</f>
        <v>5</v>
      </c>
      <c r="BX29" s="5">
        <f t="shared" si="6"/>
        <v>2.6</v>
      </c>
      <c r="BY29" s="118">
        <f>SUM(BY8:BY28)</f>
        <v>68</v>
      </c>
      <c r="BZ29" s="5">
        <f t="shared" si="7"/>
        <v>8.16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677.75999999999988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1</v>
      </c>
      <c r="AW30" s="5">
        <f t="shared" si="24"/>
        <v>0</v>
      </c>
      <c r="BA30" s="3"/>
      <c r="BB30" s="3"/>
      <c r="BC30" s="2"/>
      <c r="BF30" s="324" t="str">
        <f>IF(BF29-BF27=0,"NONE", BF29-BF27)</f>
        <v>NONE</v>
      </c>
      <c r="BG30" s="324"/>
      <c r="BI30" s="352" t="s">
        <v>252</v>
      </c>
      <c r="BJ30" s="353"/>
      <c r="BK30" s="354"/>
      <c r="BX30" s="358" t="str">
        <f>IF(BW31=BW69,"Calculations OK","Check Count for Error")</f>
        <v>Calculations OK</v>
      </c>
      <c r="BY30" s="358"/>
    </row>
    <row r="31" spans="1:83" ht="16.5" customHeight="1" thickBot="1" x14ac:dyDescent="0.3">
      <c r="D31" s="25" t="s">
        <v>122</v>
      </c>
      <c r="E31" s="189"/>
      <c r="F31" s="71">
        <f>'Stage 2'!F31</f>
        <v>8</v>
      </c>
      <c r="G31" s="135">
        <f>'Stage 2'!G31</f>
        <v>8</v>
      </c>
      <c r="H31" s="71">
        <f>'Stage 3'!H31</f>
        <v>4.5999999999999943</v>
      </c>
      <c r="I31" s="135">
        <f>'Stage 3'!I31</f>
        <v>12.599999999999994</v>
      </c>
      <c r="J31" s="71">
        <f>'Stage 4'!J31</f>
        <v>1</v>
      </c>
      <c r="K31" s="135">
        <f>'Stage 4'!K31</f>
        <v>13.599999999999994</v>
      </c>
      <c r="L31" s="71">
        <f>'Stage 5'!L31</f>
        <v>2.8400000000000318</v>
      </c>
      <c r="M31" s="135">
        <f>'Stage 5'!M31</f>
        <v>16.440000000000026</v>
      </c>
      <c r="N31" s="71">
        <f>$BK69</f>
        <v>32.92</v>
      </c>
      <c r="O31" s="40">
        <f t="shared" si="13"/>
        <v>49.360000000000028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52" t="s">
        <v>208</v>
      </c>
      <c r="AM31" s="353"/>
      <c r="AN31" s="353"/>
      <c r="AO31" s="353"/>
      <c r="AP31" s="353"/>
      <c r="AQ31" s="354"/>
      <c r="AT31" s="5">
        <f>AT30+AW31</f>
        <v>0</v>
      </c>
      <c r="AU31" s="5">
        <f t="shared" si="23"/>
        <v>0</v>
      </c>
      <c r="AV31" s="5">
        <f>AV30+AU31</f>
        <v>1</v>
      </c>
      <c r="AW31" s="5">
        <f t="shared" si="24"/>
        <v>0</v>
      </c>
      <c r="AZ31" t="s">
        <v>209</v>
      </c>
      <c r="BA31" s="3" t="s">
        <v>210</v>
      </c>
      <c r="BB31" s="3"/>
      <c r="BC31" s="50" t="b">
        <f>IF(AT5=0,0,IF(AT5="T",IF(BC19&lt;=BC12,BC12-BC19,0)))</f>
        <v>0</v>
      </c>
      <c r="BE31" s="133" t="s">
        <v>211</v>
      </c>
      <c r="BF31" s="324"/>
      <c r="BG31" s="324"/>
      <c r="BI31" s="355"/>
      <c r="BJ31" s="356"/>
      <c r="BK31" s="357"/>
      <c r="BP31">
        <f>COUNT(BP8:BP27)</f>
        <v>0</v>
      </c>
      <c r="BV31" t="s">
        <v>123</v>
      </c>
      <c r="BW31" s="5">
        <f>BT29+BV29+BX29+BZ29+CB29+CD29</f>
        <v>677.76</v>
      </c>
      <c r="BX31" s="324"/>
      <c r="BY31" s="324"/>
      <c r="BZ31" s="5">
        <f>BW69-BW31</f>
        <v>0</v>
      </c>
      <c r="CB31" s="352" t="s">
        <v>252</v>
      </c>
      <c r="CC31" s="353"/>
      <c r="CD31" s="353"/>
      <c r="CE31" s="354"/>
    </row>
    <row r="32" spans="1:83" ht="13" thickBot="1" x14ac:dyDescent="0.3">
      <c r="D32" s="42" t="s">
        <v>123</v>
      </c>
      <c r="E32" s="45">
        <f>SUM(E11:E30)</f>
        <v>10185</v>
      </c>
      <c r="F32" s="190"/>
      <c r="G32" s="135">
        <f>'Stage 2'!G32</f>
        <v>10185</v>
      </c>
      <c r="H32" s="191"/>
      <c r="I32" s="135">
        <f>'Stage 3'!I32</f>
        <v>10185</v>
      </c>
      <c r="J32" s="192"/>
      <c r="K32" s="135">
        <f>'Stage 4'!K32</f>
        <v>10185</v>
      </c>
      <c r="L32" s="192"/>
      <c r="M32" s="135">
        <f>'Stage 5'!M32</f>
        <v>10185.000000000002</v>
      </c>
      <c r="N32" s="192"/>
      <c r="O32" s="49">
        <f>SUM(O11:O31)</f>
        <v>10185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55"/>
      <c r="AM32" s="356"/>
      <c r="AN32" s="356"/>
      <c r="AO32" s="356"/>
      <c r="AP32" s="356"/>
      <c r="AQ32" s="357"/>
      <c r="AT32" s="5">
        <f>AT31+AW32</f>
        <v>0</v>
      </c>
      <c r="AU32" s="5">
        <f t="shared" si="23"/>
        <v>0</v>
      </c>
      <c r="AV32" s="5">
        <f>AV31+AU32</f>
        <v>1</v>
      </c>
      <c r="AW32" s="5">
        <f t="shared" si="24"/>
        <v>0</v>
      </c>
      <c r="BF32" s="324"/>
      <c r="BG32" s="324"/>
      <c r="BX32" s="324"/>
      <c r="BY32" s="324"/>
      <c r="CB32" s="355"/>
      <c r="CC32" s="356"/>
      <c r="CD32" s="356"/>
      <c r="CE32" s="357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124</v>
      </c>
      <c r="E34" s="185">
        <f>'Stage 2'!E34</f>
        <v>0.54166666666666663</v>
      </c>
      <c r="F34" s="219"/>
      <c r="G34" s="185">
        <f>'Stage 2'!G34</f>
        <v>0.58333333333333337</v>
      </c>
      <c r="H34" s="219"/>
      <c r="I34" s="185">
        <f>'Stage 3'!I34</f>
        <v>0.62847222222222221</v>
      </c>
      <c r="J34" s="219"/>
      <c r="K34" s="185">
        <f>'Stage 4'!K34</f>
        <v>0.68888888888888899</v>
      </c>
      <c r="L34" s="219"/>
      <c r="M34" s="185">
        <f>'Stage 5'!M34</f>
        <v>0.71875</v>
      </c>
      <c r="N34" s="219"/>
      <c r="O34" s="183">
        <v>0.83680555555555547</v>
      </c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213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214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215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176</v>
      </c>
      <c r="AD42" s="251"/>
      <c r="AE42" s="251" t="s">
        <v>216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HAMLEY</v>
      </c>
      <c r="AA44" s="250">
        <v>677.76</v>
      </c>
      <c r="AB44" s="250">
        <v>677.76</v>
      </c>
      <c r="AC44" s="250">
        <f>AC43+AA44</f>
        <v>677.76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LEE</v>
      </c>
      <c r="AA45" s="250">
        <v>688.44</v>
      </c>
      <c r="AB45" s="250">
        <v>688.44</v>
      </c>
      <c r="AC45" s="250">
        <f>AC44+AA45</f>
        <v>1366.2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217</v>
      </c>
      <c r="AK45" s="36"/>
      <c r="AL45" s="36"/>
      <c r="AM45" s="36"/>
      <c r="AN45" s="36"/>
    </row>
    <row r="46" spans="4:75" x14ac:dyDescent="0.25">
      <c r="Z46" s="253" t="str">
        <v>MCKEEVER</v>
      </c>
      <c r="AA46" s="250">
        <v>802.12</v>
      </c>
      <c r="AB46" s="250">
        <v>802.12</v>
      </c>
      <c r="AC46" s="250">
        <f t="shared" ref="AC46:AC63" si="28">AC45+AA46</f>
        <v>2168.3200000000002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677.76</v>
      </c>
      <c r="AN46" s="2">
        <f>AN47+AL46</f>
        <v>688.44</v>
      </c>
      <c r="AP46" s="2">
        <f>AP47+AN46</f>
        <v>802.12</v>
      </c>
      <c r="AR46" s="2">
        <f>AR47+AP46</f>
        <v>1000.88</v>
      </c>
      <c r="AS46" s="2"/>
      <c r="AU46" s="2">
        <f>AU47+AR46</f>
        <v>1001.68</v>
      </c>
      <c r="AW46" s="2">
        <f>AW47+AU46</f>
        <v>1046.1599999999999</v>
      </c>
      <c r="AX46" s="2"/>
      <c r="BG46" t="s">
        <v>218</v>
      </c>
    </row>
    <row r="47" spans="4:75" x14ac:dyDescent="0.25">
      <c r="Z47" s="253" t="str">
        <v>BASSETT</v>
      </c>
      <c r="AA47" s="250">
        <v>1000.88</v>
      </c>
      <c r="AB47" s="250">
        <v>1000.88</v>
      </c>
      <c r="AC47" s="250">
        <f t="shared" si="28"/>
        <v>3169.2000000000003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677.76</v>
      </c>
      <c r="AN47" s="2">
        <f>MIN(AN48:AN67)</f>
        <v>10.680000000000064</v>
      </c>
      <c r="AP47" s="2">
        <f>MIN(AP48:AP67)</f>
        <v>113.67999999999995</v>
      </c>
      <c r="AR47" s="2">
        <f>MIN(AR48:AR67)</f>
        <v>198.76</v>
      </c>
      <c r="AS47" s="2"/>
      <c r="AU47" s="2">
        <f>MIN(AU48:AU67)</f>
        <v>0.79999999999995453</v>
      </c>
      <c r="AW47" s="2">
        <f>MIN(AW48:AW67)</f>
        <v>44.479999999999905</v>
      </c>
      <c r="AX47" s="2"/>
    </row>
    <row r="48" spans="4:75" ht="37.5" x14ac:dyDescent="0.25">
      <c r="Z48" s="253" t="str">
        <v>HENDERSON</v>
      </c>
      <c r="AA48" s="250">
        <v>1001.68</v>
      </c>
      <c r="AB48" s="250">
        <v>1001.68</v>
      </c>
      <c r="AC48" s="250">
        <f t="shared" si="28"/>
        <v>4170.88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BASSETT</v>
      </c>
      <c r="AK48" s="2">
        <f t="shared" si="29"/>
        <v>1000.88</v>
      </c>
      <c r="AL48">
        <f>IF(AK48&lt;&gt;0,AK48,1000000)</f>
        <v>1000.88</v>
      </c>
      <c r="AM48" s="2">
        <f t="shared" ref="AM48:AM67" si="30">AL48-AL$47</f>
        <v>323.12</v>
      </c>
      <c r="AN48">
        <f>IF(AM48&lt;&gt;0,AM48,1000000)</f>
        <v>323.12</v>
      </c>
      <c r="AO48" s="2">
        <f t="shared" ref="AO48:AO67" si="31">AN48-AN$47</f>
        <v>312.43999999999994</v>
      </c>
      <c r="AP48">
        <f t="shared" ref="AP48:AP67" si="32">IF(AO48&lt;&gt;0,AO48,1000000)</f>
        <v>312.43999999999994</v>
      </c>
      <c r="AQ48" s="2">
        <f t="shared" ref="AQ48:AQ67" si="33">AP48-AP$47</f>
        <v>198.76</v>
      </c>
      <c r="AR48">
        <f t="shared" ref="AR48:AR67" si="34">IF(AQ48&lt;&gt;0,AQ48,1000000)</f>
        <v>198.76</v>
      </c>
      <c r="AT48" s="2">
        <f t="shared" ref="AT48:AT67" si="35">AR48-AR$47</f>
        <v>0</v>
      </c>
      <c r="AU48">
        <f t="shared" ref="AU48:AU67" si="36">IF(AT48&lt;&gt;0,AT48,1000000)</f>
        <v>1000000</v>
      </c>
      <c r="AV48" s="2">
        <f t="shared" ref="AV48:AV67" si="37">AU48-AU$47</f>
        <v>999999.2</v>
      </c>
      <c r="AW48">
        <f t="shared" ref="AW48:AW67" si="38">IF(AV48&lt;&gt;0,AV48,1000000)</f>
        <v>999999.2</v>
      </c>
      <c r="BE48" s="91" t="s">
        <v>219</v>
      </c>
      <c r="BI48" s="4" t="s">
        <v>220</v>
      </c>
      <c r="BJ48" s="4" t="s">
        <v>221</v>
      </c>
      <c r="BK48" s="4" t="s">
        <v>222</v>
      </c>
      <c r="BL48" s="91"/>
      <c r="BM48" s="91"/>
      <c r="BN48" s="91" t="s">
        <v>223</v>
      </c>
      <c r="BO48" s="91"/>
      <c r="BP48" s="91"/>
      <c r="BW48" t="s">
        <v>224</v>
      </c>
    </row>
    <row r="49" spans="26:75" x14ac:dyDescent="0.25">
      <c r="Z49" s="253" t="str">
        <v>GALLEN</v>
      </c>
      <c r="AA49" s="250">
        <v>1046.1599999999999</v>
      </c>
      <c r="AB49" s="250">
        <v>1046.1599999999999</v>
      </c>
      <c r="AC49" s="250">
        <f t="shared" si="28"/>
        <v>5217.04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CARLIN</v>
      </c>
      <c r="AK49" s="2">
        <f t="shared" si="29"/>
        <v>1214.76</v>
      </c>
      <c r="AL49">
        <f t="shared" ref="AL49:AL67" si="39">IF(AK49&lt;&gt;0,AK49,1000000)</f>
        <v>1214.76</v>
      </c>
      <c r="AM49" s="2">
        <f t="shared" si="30"/>
        <v>537</v>
      </c>
      <c r="AN49">
        <f t="shared" ref="AN49:AN67" si="40">IF(AM49&lt;&gt;0,AM49,1000000)</f>
        <v>537</v>
      </c>
      <c r="AO49" s="2">
        <f t="shared" si="31"/>
        <v>526.31999999999994</v>
      </c>
      <c r="AP49">
        <f t="shared" si="32"/>
        <v>526.31999999999994</v>
      </c>
      <c r="AQ49" s="2">
        <f t="shared" si="33"/>
        <v>412.64</v>
      </c>
      <c r="AR49">
        <f t="shared" si="34"/>
        <v>412.64</v>
      </c>
      <c r="AT49" s="2">
        <f t="shared" si="35"/>
        <v>213.88</v>
      </c>
      <c r="AU49">
        <f t="shared" si="36"/>
        <v>213.88</v>
      </c>
      <c r="AV49" s="2">
        <f t="shared" si="37"/>
        <v>213.08000000000004</v>
      </c>
      <c r="AW49">
        <f t="shared" si="38"/>
        <v>213.08000000000004</v>
      </c>
      <c r="BE49" s="5">
        <f>IF($BH5="y",$BE5,IF($BH6="y",$BE6,IF($BH7="y",$BE7,IF($BH8="y",$BE8,IF($BH9="y",$BE9,IF($BH10="y",$BE10,0))))))</f>
        <v>0</v>
      </c>
      <c r="BG49" s="125" t="str">
        <f t="shared" ref="BG49:BG68" si="41">BE5</f>
        <v>BASSETT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35.36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EATON</v>
      </c>
      <c r="AA50" s="250">
        <v>1188.76</v>
      </c>
      <c r="AB50" s="250">
        <v>1188.76</v>
      </c>
      <c r="AC50" s="250">
        <f t="shared" si="28"/>
        <v>6405.8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EATON</v>
      </c>
      <c r="AK50" s="2">
        <f t="shared" si="29"/>
        <v>1188.76</v>
      </c>
      <c r="AL50">
        <f t="shared" si="39"/>
        <v>1188.76</v>
      </c>
      <c r="AM50" s="2">
        <f t="shared" si="30"/>
        <v>511</v>
      </c>
      <c r="AN50">
        <f t="shared" si="40"/>
        <v>511</v>
      </c>
      <c r="AO50" s="2">
        <f t="shared" si="31"/>
        <v>500.31999999999994</v>
      </c>
      <c r="AP50">
        <f t="shared" si="32"/>
        <v>500.31999999999994</v>
      </c>
      <c r="AQ50" s="2">
        <f t="shared" si="33"/>
        <v>386.64</v>
      </c>
      <c r="AR50">
        <f t="shared" si="34"/>
        <v>386.64</v>
      </c>
      <c r="AT50" s="2">
        <f t="shared" si="35"/>
        <v>187.88</v>
      </c>
      <c r="AU50">
        <f t="shared" si="36"/>
        <v>187.88</v>
      </c>
      <c r="AV50" s="2">
        <f t="shared" si="37"/>
        <v>187.08000000000004</v>
      </c>
      <c r="AW50">
        <f t="shared" si="38"/>
        <v>187.08000000000004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CARLIN</v>
      </c>
      <c r="BH50" s="128"/>
      <c r="BI50" s="5">
        <f t="shared" si="42"/>
        <v>0</v>
      </c>
      <c r="BJ50" s="5">
        <f t="shared" si="43"/>
        <v>0</v>
      </c>
      <c r="BK50" s="5">
        <f t="shared" si="44"/>
        <v>46</v>
      </c>
      <c r="BN50" s="5">
        <f t="shared" ref="BN50:BN68" si="45">IF(BP9="y",-BO9,0)</f>
        <v>0</v>
      </c>
      <c r="BW50" s="5">
        <f t="shared" ref="BW50:BW68" si="46">IF(BP9="y",BO9,0)</f>
        <v>0</v>
      </c>
    </row>
    <row r="51" spans="26:75" ht="12.75" customHeight="1" x14ac:dyDescent="0.25">
      <c r="Z51" s="253" t="str">
        <v>CARLIN</v>
      </c>
      <c r="AA51" s="250">
        <v>1214.76</v>
      </c>
      <c r="AB51" s="250">
        <v>1214.76</v>
      </c>
      <c r="AC51" s="250">
        <f t="shared" si="28"/>
        <v>7620.56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GALLEN</v>
      </c>
      <c r="AK51" s="2">
        <f t="shared" si="29"/>
        <v>1046.1599999999999</v>
      </c>
      <c r="AL51">
        <f t="shared" si="39"/>
        <v>1046.1599999999999</v>
      </c>
      <c r="AM51" s="2">
        <f t="shared" si="30"/>
        <v>368.39999999999986</v>
      </c>
      <c r="AN51">
        <f t="shared" si="40"/>
        <v>368.39999999999986</v>
      </c>
      <c r="AO51" s="2">
        <f t="shared" si="31"/>
        <v>357.7199999999998</v>
      </c>
      <c r="AP51">
        <f t="shared" si="32"/>
        <v>357.7199999999998</v>
      </c>
      <c r="AQ51" s="2">
        <f t="shared" si="33"/>
        <v>244.03999999999985</v>
      </c>
      <c r="AR51">
        <f t="shared" si="34"/>
        <v>244.03999999999985</v>
      </c>
      <c r="AT51" s="2">
        <f t="shared" si="35"/>
        <v>45.279999999999859</v>
      </c>
      <c r="AU51">
        <f t="shared" si="36"/>
        <v>45.279999999999859</v>
      </c>
      <c r="AV51" s="2">
        <f t="shared" si="37"/>
        <v>44.479999999999905</v>
      </c>
      <c r="AW51">
        <f t="shared" si="38"/>
        <v>44.479999999999905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EATON</v>
      </c>
      <c r="BH51" s="128"/>
      <c r="BI51" s="5">
        <f t="shared" si="42"/>
        <v>0</v>
      </c>
      <c r="BJ51" s="5">
        <f t="shared" si="43"/>
        <v>0</v>
      </c>
      <c r="BK51" s="5">
        <f t="shared" si="44"/>
        <v>228</v>
      </c>
      <c r="BN51" s="5">
        <f t="shared" si="45"/>
        <v>0</v>
      </c>
      <c r="BW51" s="5">
        <f t="shared" si="46"/>
        <v>0</v>
      </c>
    </row>
    <row r="52" spans="26:75" x14ac:dyDescent="0.25">
      <c r="Z52" s="253" t="str">
        <v>GUY</v>
      </c>
      <c r="AA52" s="250">
        <v>1274</v>
      </c>
      <c r="AB52" s="250">
        <v>1274</v>
      </c>
      <c r="AC52" s="250">
        <f t="shared" si="28"/>
        <v>8894.5600000000013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GUY</v>
      </c>
      <c r="AK52" s="2">
        <f t="shared" si="29"/>
        <v>1274</v>
      </c>
      <c r="AL52">
        <f t="shared" si="39"/>
        <v>1274</v>
      </c>
      <c r="AM52" s="2">
        <f t="shared" si="30"/>
        <v>596.24</v>
      </c>
      <c r="AN52">
        <f t="shared" si="40"/>
        <v>596.24</v>
      </c>
      <c r="AO52" s="2">
        <f t="shared" si="31"/>
        <v>585.55999999999995</v>
      </c>
      <c r="AP52">
        <f t="shared" si="32"/>
        <v>585.55999999999995</v>
      </c>
      <c r="AQ52" s="2">
        <f t="shared" si="33"/>
        <v>471.88</v>
      </c>
      <c r="AR52">
        <f t="shared" si="34"/>
        <v>471.88</v>
      </c>
      <c r="AT52" s="2">
        <f t="shared" si="35"/>
        <v>273.12</v>
      </c>
      <c r="AU52">
        <f t="shared" si="36"/>
        <v>273.12</v>
      </c>
      <c r="AV52" s="2">
        <f t="shared" si="37"/>
        <v>272.32000000000005</v>
      </c>
      <c r="AW52">
        <f t="shared" si="38"/>
        <v>272.32000000000005</v>
      </c>
      <c r="BE52" s="5">
        <f>IF($BH23="y",$BE23,IF($BH24="y",$BE24,0))</f>
        <v>0</v>
      </c>
      <c r="BG52" s="127" t="str">
        <f t="shared" si="41"/>
        <v>GALLEN</v>
      </c>
      <c r="BH52" s="128"/>
      <c r="BI52" s="5">
        <f t="shared" si="42"/>
        <v>0</v>
      </c>
      <c r="BJ52" s="5">
        <f t="shared" si="43"/>
        <v>0</v>
      </c>
      <c r="BK52" s="5">
        <f t="shared" si="44"/>
        <v>100.96</v>
      </c>
      <c r="BN52" s="5">
        <f t="shared" si="45"/>
        <v>0</v>
      </c>
      <c r="BW52" s="5">
        <f t="shared" si="46"/>
        <v>0</v>
      </c>
    </row>
    <row r="53" spans="26:75" x14ac:dyDescent="0.25">
      <c r="Z53" s="253" t="str">
        <v>HIGGINSON</v>
      </c>
      <c r="AA53" s="250">
        <v>1274</v>
      </c>
      <c r="AB53" s="250">
        <v>1274</v>
      </c>
      <c r="AC53" s="250">
        <f t="shared" si="28"/>
        <v>10168.560000000001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HAMLEY</v>
      </c>
      <c r="AK53" s="2">
        <f t="shared" si="29"/>
        <v>677.76</v>
      </c>
      <c r="AL53">
        <f t="shared" si="39"/>
        <v>677.76</v>
      </c>
      <c r="AM53" s="2">
        <f t="shared" si="30"/>
        <v>0</v>
      </c>
      <c r="AN53">
        <f t="shared" si="40"/>
        <v>1000000</v>
      </c>
      <c r="AO53" s="2">
        <f t="shared" si="31"/>
        <v>999989.32</v>
      </c>
      <c r="AP53">
        <f t="shared" si="32"/>
        <v>999989.32</v>
      </c>
      <c r="AQ53" s="2">
        <f t="shared" si="33"/>
        <v>999875.6399999999</v>
      </c>
      <c r="AR53">
        <f t="shared" si="34"/>
        <v>999875.6399999999</v>
      </c>
      <c r="AT53" s="2">
        <f t="shared" si="35"/>
        <v>999676.87999999989</v>
      </c>
      <c r="AU53">
        <f t="shared" si="36"/>
        <v>999676.87999999989</v>
      </c>
      <c r="AV53" s="2">
        <f t="shared" si="37"/>
        <v>999676.07999999984</v>
      </c>
      <c r="AW53">
        <f t="shared" si="38"/>
        <v>999676.07999999984</v>
      </c>
      <c r="BG53" s="127" t="str">
        <f t="shared" si="41"/>
        <v>GUY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 t="str">
        <v>MILLER</v>
      </c>
      <c r="AA54" s="250">
        <v>0</v>
      </c>
      <c r="AB54" s="250">
        <v>1000000</v>
      </c>
      <c r="AC54" s="250">
        <f t="shared" si="28"/>
        <v>10168.560000000001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HENDERSON</v>
      </c>
      <c r="AK54" s="2">
        <f t="shared" si="29"/>
        <v>1001.68</v>
      </c>
      <c r="AL54">
        <f t="shared" si="39"/>
        <v>1001.68</v>
      </c>
      <c r="AM54" s="2">
        <f t="shared" si="30"/>
        <v>323.91999999999996</v>
      </c>
      <c r="AN54">
        <f t="shared" si="40"/>
        <v>323.91999999999996</v>
      </c>
      <c r="AO54" s="2">
        <f t="shared" si="31"/>
        <v>313.2399999999999</v>
      </c>
      <c r="AP54">
        <f t="shared" si="32"/>
        <v>313.2399999999999</v>
      </c>
      <c r="AQ54" s="2">
        <f t="shared" si="33"/>
        <v>199.55999999999995</v>
      </c>
      <c r="AR54">
        <f t="shared" si="34"/>
        <v>199.55999999999995</v>
      </c>
      <c r="AT54" s="2">
        <f t="shared" si="35"/>
        <v>0.79999999999995453</v>
      </c>
      <c r="AU54">
        <f t="shared" si="36"/>
        <v>0.79999999999995453</v>
      </c>
      <c r="AV54" s="2">
        <f t="shared" si="37"/>
        <v>0</v>
      </c>
      <c r="AW54">
        <f t="shared" si="38"/>
        <v>1000000</v>
      </c>
      <c r="BG54" s="127" t="str">
        <f t="shared" si="41"/>
        <v>HAMLEY</v>
      </c>
      <c r="BH54" s="128"/>
      <c r="BI54" s="5">
        <f t="shared" si="42"/>
        <v>0</v>
      </c>
      <c r="BJ54" s="5">
        <f t="shared" si="43"/>
        <v>-677.76</v>
      </c>
      <c r="BK54" s="5">
        <f t="shared" si="44"/>
        <v>-677.76</v>
      </c>
      <c r="BN54" s="5">
        <f t="shared" si="45"/>
        <v>-677.76</v>
      </c>
      <c r="BW54" s="5">
        <f t="shared" si="46"/>
        <v>677.76</v>
      </c>
    </row>
    <row r="55" spans="26:75" x14ac:dyDescent="0.25">
      <c r="Z55" s="253" t="str">
        <v>TRAYNOR</v>
      </c>
      <c r="AA55" s="250">
        <v>0</v>
      </c>
      <c r="AB55" s="250">
        <v>1000000</v>
      </c>
      <c r="AC55" s="250">
        <f t="shared" si="28"/>
        <v>10168.560000000001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HIGGINSON</v>
      </c>
      <c r="AK55" s="2">
        <f t="shared" si="29"/>
        <v>1274</v>
      </c>
      <c r="AL55">
        <f t="shared" si="39"/>
        <v>1274</v>
      </c>
      <c r="AM55" s="2">
        <f t="shared" si="30"/>
        <v>596.24</v>
      </c>
      <c r="AN55">
        <f t="shared" si="40"/>
        <v>596.24</v>
      </c>
      <c r="AO55" s="2">
        <f t="shared" si="31"/>
        <v>585.55999999999995</v>
      </c>
      <c r="AP55">
        <f t="shared" si="32"/>
        <v>585.55999999999995</v>
      </c>
      <c r="AQ55" s="2">
        <f t="shared" si="33"/>
        <v>471.88</v>
      </c>
      <c r="AR55">
        <f t="shared" si="34"/>
        <v>471.88</v>
      </c>
      <c r="AT55" s="2">
        <f t="shared" si="35"/>
        <v>273.12</v>
      </c>
      <c r="AU55">
        <f t="shared" si="36"/>
        <v>273.12</v>
      </c>
      <c r="AV55" s="2">
        <f t="shared" si="37"/>
        <v>272.32000000000005</v>
      </c>
      <c r="AW55">
        <f t="shared" si="38"/>
        <v>272.32000000000005</v>
      </c>
      <c r="BG55" s="127" t="str">
        <f t="shared" si="41"/>
        <v>HENDERSON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37.4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10168.560000000001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9"/>
        <v>LEE</v>
      </c>
      <c r="AK56" s="2">
        <f t="shared" si="29"/>
        <v>688.44</v>
      </c>
      <c r="AL56">
        <f t="shared" si="39"/>
        <v>688.44</v>
      </c>
      <c r="AM56" s="2">
        <f t="shared" si="30"/>
        <v>10.680000000000064</v>
      </c>
      <c r="AN56">
        <f t="shared" si="40"/>
        <v>10.680000000000064</v>
      </c>
      <c r="AO56" s="2">
        <f t="shared" si="31"/>
        <v>0</v>
      </c>
      <c r="AP56">
        <f t="shared" si="32"/>
        <v>1000000</v>
      </c>
      <c r="AQ56" s="2">
        <f t="shared" si="33"/>
        <v>999886.32</v>
      </c>
      <c r="AR56">
        <f t="shared" si="34"/>
        <v>999886.32</v>
      </c>
      <c r="AT56" s="2">
        <f t="shared" si="35"/>
        <v>999687.55999999994</v>
      </c>
      <c r="AU56">
        <f t="shared" si="36"/>
        <v>999687.55999999994</v>
      </c>
      <c r="AV56" s="2">
        <f t="shared" si="37"/>
        <v>999686.75999999989</v>
      </c>
      <c r="AW56">
        <f t="shared" si="38"/>
        <v>999686.75999999989</v>
      </c>
      <c r="BG56" s="127" t="str">
        <f t="shared" si="41"/>
        <v>HIGGINSON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0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10168.560000000001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9"/>
        <v>MCKEEVER</v>
      </c>
      <c r="AK57" s="2">
        <f t="shared" si="29"/>
        <v>802.12</v>
      </c>
      <c r="AL57">
        <f t="shared" si="39"/>
        <v>802.12</v>
      </c>
      <c r="AM57" s="2">
        <f t="shared" si="30"/>
        <v>124.36000000000001</v>
      </c>
      <c r="AN57">
        <f t="shared" si="40"/>
        <v>124.36000000000001</v>
      </c>
      <c r="AO57" s="2">
        <f t="shared" si="31"/>
        <v>113.67999999999995</v>
      </c>
      <c r="AP57">
        <f t="shared" si="32"/>
        <v>113.67999999999995</v>
      </c>
      <c r="AQ57" s="2">
        <f t="shared" si="33"/>
        <v>0</v>
      </c>
      <c r="AR57">
        <f t="shared" si="34"/>
        <v>1000000</v>
      </c>
      <c r="AT57" s="2">
        <f t="shared" si="35"/>
        <v>999801.24</v>
      </c>
      <c r="AU57">
        <f t="shared" si="36"/>
        <v>999801.24</v>
      </c>
      <c r="AV57" s="2">
        <f t="shared" si="37"/>
        <v>999800.44</v>
      </c>
      <c r="AW57">
        <f t="shared" si="38"/>
        <v>999800.44</v>
      </c>
      <c r="BG57" s="127" t="str">
        <f t="shared" si="41"/>
        <v>LEE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73.2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10168.560000000001</v>
      </c>
      <c r="AD58" s="250"/>
      <c r="AE58" s="252">
        <f>IF(AC58&gt;$AG$4,0,IF(AC58&lt;AA59,"Exclude 15 lowest candidates",0))</f>
        <v>0</v>
      </c>
      <c r="AF58" s="250"/>
      <c r="AG58" s="250"/>
      <c r="AJ58" t="str">
        <f t="shared" si="29"/>
        <v>MILLER</v>
      </c>
      <c r="AK58" s="2">
        <f t="shared" si="29"/>
        <v>0</v>
      </c>
      <c r="AL58">
        <f t="shared" si="39"/>
        <v>1000000</v>
      </c>
      <c r="AM58" s="2">
        <f t="shared" si="30"/>
        <v>999322.24</v>
      </c>
      <c r="AN58">
        <f t="shared" si="40"/>
        <v>999322.24</v>
      </c>
      <c r="AO58" s="2">
        <f t="shared" si="31"/>
        <v>999311.55999999994</v>
      </c>
      <c r="AP58">
        <f t="shared" si="32"/>
        <v>999311.55999999994</v>
      </c>
      <c r="AQ58" s="2">
        <f t="shared" si="33"/>
        <v>999197.87999999989</v>
      </c>
      <c r="AR58">
        <f t="shared" si="34"/>
        <v>999197.87999999989</v>
      </c>
      <c r="AT58" s="2">
        <f t="shared" si="35"/>
        <v>998999.11999999988</v>
      </c>
      <c r="AU58">
        <f t="shared" si="36"/>
        <v>998999.11999999988</v>
      </c>
      <c r="AV58" s="2">
        <f t="shared" si="37"/>
        <v>998998.31999999983</v>
      </c>
      <c r="AW58">
        <f t="shared" si="38"/>
        <v>998998.31999999983</v>
      </c>
      <c r="BG58" s="127" t="str">
        <f t="shared" si="41"/>
        <v>MCKEEVER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123.92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10168.560000000001</v>
      </c>
      <c r="AD59" s="250"/>
      <c r="AE59" s="252">
        <f>IF(AC59&gt;$AG$4,0,IF(AC59&lt;AA60,"Exclude 16 lowest candidates",0))</f>
        <v>0</v>
      </c>
      <c r="AF59" s="250"/>
      <c r="AG59" s="250"/>
      <c r="AJ59" t="str">
        <f t="shared" si="29"/>
        <v>TRAYNOR</v>
      </c>
      <c r="AK59" s="2">
        <f t="shared" si="29"/>
        <v>0</v>
      </c>
      <c r="AL59">
        <f t="shared" si="39"/>
        <v>1000000</v>
      </c>
      <c r="AM59" s="2">
        <f t="shared" si="30"/>
        <v>999322.24</v>
      </c>
      <c r="AN59">
        <f t="shared" si="40"/>
        <v>999322.24</v>
      </c>
      <c r="AO59" s="2">
        <f t="shared" si="31"/>
        <v>999311.55999999994</v>
      </c>
      <c r="AP59">
        <f t="shared" si="32"/>
        <v>999311.55999999994</v>
      </c>
      <c r="AQ59" s="2">
        <f t="shared" si="33"/>
        <v>999197.87999999989</v>
      </c>
      <c r="AR59">
        <f t="shared" si="34"/>
        <v>999197.87999999989</v>
      </c>
      <c r="AT59" s="2">
        <f t="shared" si="35"/>
        <v>998999.11999999988</v>
      </c>
      <c r="AU59">
        <f t="shared" si="36"/>
        <v>998999.11999999988</v>
      </c>
      <c r="AV59" s="2">
        <f t="shared" si="37"/>
        <v>998998.31999999983</v>
      </c>
      <c r="AW59">
        <f t="shared" si="38"/>
        <v>998998.31999999983</v>
      </c>
      <c r="BG59" s="127" t="str">
        <f t="shared" si="41"/>
        <v>MILLER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10168.560000000001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999322.24</v>
      </c>
      <c r="AN60">
        <f t="shared" si="40"/>
        <v>999322.24</v>
      </c>
      <c r="AO60" s="2">
        <f t="shared" si="31"/>
        <v>999311.55999999994</v>
      </c>
      <c r="AP60">
        <f t="shared" si="32"/>
        <v>999311.55999999994</v>
      </c>
      <c r="AQ60" s="2">
        <f t="shared" si="33"/>
        <v>999197.87999999989</v>
      </c>
      <c r="AR60">
        <f t="shared" si="34"/>
        <v>999197.87999999989</v>
      </c>
      <c r="AT60" s="2">
        <f t="shared" si="35"/>
        <v>998999.11999999988</v>
      </c>
      <c r="AU60">
        <f t="shared" si="36"/>
        <v>998999.11999999988</v>
      </c>
      <c r="AV60" s="2">
        <f t="shared" si="37"/>
        <v>998998.31999999983</v>
      </c>
      <c r="AW60">
        <f t="shared" si="38"/>
        <v>998998.31999999983</v>
      </c>
      <c r="BG60" s="127" t="str">
        <f t="shared" si="41"/>
        <v>TRAYNOR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10168.560000000001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999322.24</v>
      </c>
      <c r="AN61">
        <f t="shared" si="40"/>
        <v>999322.24</v>
      </c>
      <c r="AO61" s="2">
        <f t="shared" si="31"/>
        <v>999311.55999999994</v>
      </c>
      <c r="AP61">
        <f t="shared" si="32"/>
        <v>999311.55999999994</v>
      </c>
      <c r="AQ61" s="2">
        <f t="shared" si="33"/>
        <v>999197.87999999989</v>
      </c>
      <c r="AR61">
        <f t="shared" si="34"/>
        <v>999197.87999999989</v>
      </c>
      <c r="AT61" s="2">
        <f t="shared" si="35"/>
        <v>998999.11999999988</v>
      </c>
      <c r="AU61">
        <f t="shared" si="36"/>
        <v>998999.11999999988</v>
      </c>
      <c r="AV61" s="2">
        <f t="shared" si="37"/>
        <v>998998.31999999983</v>
      </c>
      <c r="AW61">
        <f t="shared" si="38"/>
        <v>998998.31999999983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10168.560000000001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999322.24</v>
      </c>
      <c r="AN62">
        <f t="shared" si="40"/>
        <v>999322.24</v>
      </c>
      <c r="AO62" s="2">
        <f t="shared" si="31"/>
        <v>999311.55999999994</v>
      </c>
      <c r="AP62">
        <f t="shared" si="32"/>
        <v>999311.55999999994</v>
      </c>
      <c r="AQ62" s="2">
        <f t="shared" si="33"/>
        <v>999197.87999999989</v>
      </c>
      <c r="AR62">
        <f t="shared" si="34"/>
        <v>999197.87999999989</v>
      </c>
      <c r="AT62" s="2">
        <f t="shared" si="35"/>
        <v>998999.11999999988</v>
      </c>
      <c r="AU62">
        <f t="shared" si="36"/>
        <v>998999.11999999988</v>
      </c>
      <c r="AV62" s="2">
        <f t="shared" si="37"/>
        <v>998998.31999999983</v>
      </c>
      <c r="AW62">
        <f t="shared" si="38"/>
        <v>998998.31999999983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10168.560000000001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999322.24</v>
      </c>
      <c r="AN63">
        <f t="shared" si="40"/>
        <v>999322.24</v>
      </c>
      <c r="AO63" s="2">
        <f t="shared" si="31"/>
        <v>999311.55999999994</v>
      </c>
      <c r="AP63">
        <f t="shared" si="32"/>
        <v>999311.55999999994</v>
      </c>
      <c r="AQ63" s="2">
        <f t="shared" si="33"/>
        <v>999197.87999999989</v>
      </c>
      <c r="AR63">
        <f t="shared" si="34"/>
        <v>999197.87999999989</v>
      </c>
      <c r="AT63" s="2">
        <f t="shared" si="35"/>
        <v>998999.11999999988</v>
      </c>
      <c r="AU63">
        <f t="shared" si="36"/>
        <v>998999.11999999988</v>
      </c>
      <c r="AV63" s="2">
        <f t="shared" si="37"/>
        <v>998998.31999999983</v>
      </c>
      <c r="AW63">
        <f t="shared" si="38"/>
        <v>998998.31999999983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999322.24</v>
      </c>
      <c r="AN64">
        <f t="shared" si="40"/>
        <v>999322.24</v>
      </c>
      <c r="AO64" s="2">
        <f t="shared" si="31"/>
        <v>999311.55999999994</v>
      </c>
      <c r="AP64">
        <f t="shared" si="32"/>
        <v>999311.55999999994</v>
      </c>
      <c r="AQ64" s="2">
        <f t="shared" si="33"/>
        <v>999197.87999999989</v>
      </c>
      <c r="AR64">
        <f t="shared" si="34"/>
        <v>999197.87999999989</v>
      </c>
      <c r="AT64" s="2">
        <f t="shared" si="35"/>
        <v>998999.11999999988</v>
      </c>
      <c r="AU64">
        <f t="shared" si="36"/>
        <v>998999.11999999988</v>
      </c>
      <c r="AV64" s="2">
        <f t="shared" si="37"/>
        <v>998998.31999999983</v>
      </c>
      <c r="AW64">
        <f t="shared" si="38"/>
        <v>998998.31999999983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999322.24</v>
      </c>
      <c r="AN65">
        <f t="shared" si="40"/>
        <v>999322.24</v>
      </c>
      <c r="AO65" s="2">
        <f t="shared" si="31"/>
        <v>999311.55999999994</v>
      </c>
      <c r="AP65">
        <f t="shared" si="32"/>
        <v>999311.55999999994</v>
      </c>
      <c r="AQ65" s="2">
        <f t="shared" si="33"/>
        <v>999197.87999999989</v>
      </c>
      <c r="AR65">
        <f t="shared" si="34"/>
        <v>999197.87999999989</v>
      </c>
      <c r="AT65" s="2">
        <f t="shared" si="35"/>
        <v>998999.11999999988</v>
      </c>
      <c r="AU65">
        <f t="shared" si="36"/>
        <v>998999.11999999988</v>
      </c>
      <c r="AV65" s="2">
        <f t="shared" si="37"/>
        <v>998998.31999999983</v>
      </c>
      <c r="AW65">
        <f t="shared" si="38"/>
        <v>998998.31999999983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999322.24</v>
      </c>
      <c r="AN66">
        <f t="shared" si="40"/>
        <v>999322.24</v>
      </c>
      <c r="AO66" s="2">
        <f t="shared" si="31"/>
        <v>999311.55999999994</v>
      </c>
      <c r="AP66">
        <f t="shared" si="32"/>
        <v>999311.55999999994</v>
      </c>
      <c r="AQ66" s="2">
        <f t="shared" si="33"/>
        <v>999197.87999999989</v>
      </c>
      <c r="AR66">
        <f t="shared" si="34"/>
        <v>999197.87999999989</v>
      </c>
      <c r="AT66" s="2">
        <f t="shared" si="35"/>
        <v>998999.11999999988</v>
      </c>
      <c r="AU66">
        <f t="shared" si="36"/>
        <v>998999.11999999988</v>
      </c>
      <c r="AV66" s="2">
        <f t="shared" si="37"/>
        <v>998998.31999999983</v>
      </c>
      <c r="AW66">
        <f t="shared" si="38"/>
        <v>998998.31999999983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999322.24</v>
      </c>
      <c r="AN67">
        <f t="shared" si="40"/>
        <v>999322.24</v>
      </c>
      <c r="AO67" s="2">
        <f t="shared" si="31"/>
        <v>999311.55999999994</v>
      </c>
      <c r="AP67">
        <f t="shared" si="32"/>
        <v>999311.55999999994</v>
      </c>
      <c r="AQ67" s="2">
        <f t="shared" si="33"/>
        <v>999197.87999999989</v>
      </c>
      <c r="AR67">
        <f t="shared" si="34"/>
        <v>999197.87999999989</v>
      </c>
      <c r="AT67" s="2">
        <f t="shared" si="35"/>
        <v>998999.11999999988</v>
      </c>
      <c r="AU67">
        <f t="shared" si="36"/>
        <v>998999.11999999988</v>
      </c>
      <c r="AV67" s="2">
        <f t="shared" si="37"/>
        <v>998998.31999999983</v>
      </c>
      <c r="AW67">
        <f t="shared" si="38"/>
        <v>998998.31999999983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225</v>
      </c>
      <c r="BI69" s="5">
        <f>BG26</f>
        <v>0</v>
      </c>
      <c r="BJ69" s="5">
        <f>CE28</f>
        <v>32.92</v>
      </c>
      <c r="BK69" s="5">
        <f>BI69+BJ69</f>
        <v>32.92</v>
      </c>
      <c r="BW69" s="5">
        <f>SUM(BW49:BW68)</f>
        <v>677.76</v>
      </c>
    </row>
    <row r="70" spans="36:75" x14ac:dyDescent="0.25">
      <c r="BK70" s="5">
        <f>BG27+CE29</f>
        <v>677.75999999999988</v>
      </c>
    </row>
    <row r="82" spans="41:46" x14ac:dyDescent="0.25">
      <c r="AO82" s="5">
        <f>IF(AO20&lt;&gt;0,1,0)</f>
        <v>1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1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Castlereagh South</v>
      </c>
      <c r="DB209" s="230"/>
      <c r="DC209" s="230"/>
      <c r="DD209" s="230"/>
      <c r="DE209" s="350"/>
      <c r="DF209" s="351"/>
    </row>
    <row r="210" spans="105:110" ht="36" x14ac:dyDescent="0.5">
      <c r="DA210" s="231" t="s">
        <v>125</v>
      </c>
      <c r="DB210" s="231" t="s">
        <v>119</v>
      </c>
      <c r="DC210" s="231" t="s">
        <v>126</v>
      </c>
      <c r="DD210" s="231" t="s">
        <v>121</v>
      </c>
      <c r="DE210" s="231" t="s">
        <v>253</v>
      </c>
      <c r="DF210" s="231" t="s">
        <v>227</v>
      </c>
    </row>
    <row r="211" spans="105:110" ht="15.5" x14ac:dyDescent="0.35">
      <c r="DA211" s="232" t="str">
        <f>IF(A11="Elected","E",IF(A11="Excluded","Excluded",""))&amp;IF(B11&gt;0,B11,"")</f>
        <v/>
      </c>
      <c r="DB211" s="232" t="str">
        <f>C11</f>
        <v>BASSETT</v>
      </c>
      <c r="DC211" s="232" t="str">
        <f>D11</f>
        <v>Sinn Féin</v>
      </c>
      <c r="DD211" s="233">
        <f>E11</f>
        <v>997</v>
      </c>
      <c r="DE211" s="233">
        <f>N11</f>
        <v>35.36</v>
      </c>
      <c r="DF211" s="233">
        <f>O11</f>
        <v>1036.24</v>
      </c>
    </row>
    <row r="212" spans="105:110" ht="15.5" x14ac:dyDescent="0.35">
      <c r="DA212" s="232" t="str">
        <f t="shared" ref="DA212:DA230" si="51">IF(A12="Elected","E",IF(A12="Excluded","Excluded",""))&amp;IF(B12&gt;0,B12,"")</f>
        <v/>
      </c>
      <c r="DB212" s="232" t="str">
        <f t="shared" ref="DB212:DD227" si="52">C12</f>
        <v>CARLIN</v>
      </c>
      <c r="DC212" s="232" t="str">
        <f t="shared" si="52"/>
        <v>Sinn Féin</v>
      </c>
      <c r="DD212" s="233">
        <f t="shared" si="52"/>
        <v>1204</v>
      </c>
      <c r="DE212" s="233">
        <f t="shared" ref="DE212:DF212" si="53">N12</f>
        <v>46</v>
      </c>
      <c r="DF212" s="233">
        <f t="shared" si="53"/>
        <v>1260.76</v>
      </c>
    </row>
    <row r="213" spans="105:110" ht="15.5" x14ac:dyDescent="0.35">
      <c r="DA213" s="232" t="str">
        <f t="shared" si="51"/>
        <v>E</v>
      </c>
      <c r="DB213" s="232" t="str">
        <f t="shared" si="52"/>
        <v>EATON</v>
      </c>
      <c r="DC213" s="232" t="str">
        <f t="shared" si="52"/>
        <v>Alliance Party</v>
      </c>
      <c r="DD213" s="233">
        <f t="shared" si="52"/>
        <v>1116</v>
      </c>
      <c r="DE213" s="233">
        <f t="shared" ref="DE213:DF213" si="54">N13</f>
        <v>228</v>
      </c>
      <c r="DF213" s="233">
        <f t="shared" si="54"/>
        <v>1416.76</v>
      </c>
    </row>
    <row r="214" spans="105:110" ht="15.5" x14ac:dyDescent="0.35">
      <c r="DA214" s="232" t="str">
        <f t="shared" si="51"/>
        <v/>
      </c>
      <c r="DB214" s="232" t="str">
        <f t="shared" si="52"/>
        <v>GALLEN</v>
      </c>
      <c r="DC214" s="232" t="str">
        <f t="shared" si="52"/>
        <v>SDLP</v>
      </c>
      <c r="DD214" s="233">
        <f t="shared" si="52"/>
        <v>1035</v>
      </c>
      <c r="DE214" s="233">
        <f t="shared" ref="DE214:DF214" si="55">N14</f>
        <v>100.96</v>
      </c>
      <c r="DF214" s="233">
        <f t="shared" si="55"/>
        <v>1147.1199999999999</v>
      </c>
    </row>
    <row r="215" spans="105:110" ht="15.5" x14ac:dyDescent="0.35">
      <c r="DA215" s="232" t="str">
        <f t="shared" si="51"/>
        <v>E</v>
      </c>
      <c r="DB215" s="232" t="str">
        <f t="shared" si="52"/>
        <v>GUY</v>
      </c>
      <c r="DC215" s="232" t="str">
        <f t="shared" si="52"/>
        <v>Alliance Party</v>
      </c>
      <c r="DD215" s="233">
        <f t="shared" si="52"/>
        <v>1452</v>
      </c>
      <c r="DE215" s="233">
        <f t="shared" ref="DE215:DF215" si="56">N15</f>
        <v>0</v>
      </c>
      <c r="DF215" s="233">
        <f t="shared" si="56"/>
        <v>1274</v>
      </c>
    </row>
    <row r="216" spans="105:110" ht="15.5" x14ac:dyDescent="0.35">
      <c r="DA216" s="232" t="str">
        <f t="shared" si="51"/>
        <v>Excluded</v>
      </c>
      <c r="DB216" s="232" t="str">
        <f t="shared" si="52"/>
        <v>HAMLEY</v>
      </c>
      <c r="DC216" s="232" t="str">
        <f t="shared" si="52"/>
        <v>Green Party NI</v>
      </c>
      <c r="DD216" s="233">
        <f t="shared" si="52"/>
        <v>656</v>
      </c>
      <c r="DE216" s="233">
        <f t="shared" ref="DE216:DF216" si="57">N16</f>
        <v>-677.76</v>
      </c>
      <c r="DF216" s="233">
        <f t="shared" si="57"/>
        <v>0</v>
      </c>
    </row>
    <row r="217" spans="105:110" ht="15.5" x14ac:dyDescent="0.35">
      <c r="DA217" s="232" t="str">
        <f t="shared" si="51"/>
        <v/>
      </c>
      <c r="DB217" s="232" t="str">
        <f t="shared" si="52"/>
        <v>HENDERSON</v>
      </c>
      <c r="DC217" s="232" t="str">
        <f t="shared" si="52"/>
        <v>UUP</v>
      </c>
      <c r="DD217" s="233">
        <f t="shared" si="52"/>
        <v>760</v>
      </c>
      <c r="DE217" s="233">
        <f t="shared" ref="DE217:DF217" si="58">N17</f>
        <v>37.4</v>
      </c>
      <c r="DF217" s="233">
        <f t="shared" si="58"/>
        <v>1039.08</v>
      </c>
    </row>
    <row r="218" spans="105:110" ht="15.5" x14ac:dyDescent="0.35">
      <c r="DA218" s="232" t="str">
        <f t="shared" si="51"/>
        <v>E</v>
      </c>
      <c r="DB218" s="232" t="str">
        <f t="shared" si="52"/>
        <v>HIGGINSON</v>
      </c>
      <c r="DC218" s="232" t="str">
        <f t="shared" si="52"/>
        <v>D.U.P.</v>
      </c>
      <c r="DD218" s="233">
        <f t="shared" si="52"/>
        <v>1006</v>
      </c>
      <c r="DE218" s="233">
        <f t="shared" ref="DE218:DF218" si="59">N18</f>
        <v>0</v>
      </c>
      <c r="DF218" s="233">
        <f t="shared" si="59"/>
        <v>1274</v>
      </c>
    </row>
    <row r="219" spans="105:110" ht="15.5" x14ac:dyDescent="0.35">
      <c r="DA219" s="232" t="str">
        <f t="shared" si="51"/>
        <v/>
      </c>
      <c r="DB219" s="232" t="str">
        <f t="shared" si="52"/>
        <v>LEE</v>
      </c>
      <c r="DC219" s="232" t="str">
        <f t="shared" si="52"/>
        <v xml:space="preserve">SDLP </v>
      </c>
      <c r="DD219" s="233">
        <f t="shared" si="52"/>
        <v>656</v>
      </c>
      <c r="DE219" s="233">
        <f t="shared" ref="DE219:DF219" si="60">N19</f>
        <v>73.2</v>
      </c>
      <c r="DF219" s="233">
        <f t="shared" si="60"/>
        <v>761.6400000000001</v>
      </c>
    </row>
    <row r="220" spans="105:110" ht="15.5" x14ac:dyDescent="0.35">
      <c r="DA220" s="232" t="str">
        <f t="shared" si="51"/>
        <v/>
      </c>
      <c r="DB220" s="232" t="str">
        <f t="shared" si="52"/>
        <v>MCKEEVER</v>
      </c>
      <c r="DC220" s="232" t="str">
        <f t="shared" si="52"/>
        <v>Alliance Party</v>
      </c>
      <c r="DD220" s="233">
        <f t="shared" si="52"/>
        <v>727</v>
      </c>
      <c r="DE220" s="233">
        <f t="shared" ref="DE220:DF220" si="61">N20</f>
        <v>123.92</v>
      </c>
      <c r="DF220" s="233">
        <f t="shared" si="61"/>
        <v>926.04</v>
      </c>
    </row>
    <row r="221" spans="105:110" ht="15.5" x14ac:dyDescent="0.35">
      <c r="DA221" s="232" t="str">
        <f t="shared" si="51"/>
        <v>Excluded</v>
      </c>
      <c r="DB221" s="232" t="str">
        <f t="shared" si="52"/>
        <v>MILLER</v>
      </c>
      <c r="DC221" s="232" t="str">
        <f t="shared" si="52"/>
        <v>Independent</v>
      </c>
      <c r="DD221" s="233">
        <f t="shared" si="52"/>
        <v>49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>Excluded</v>
      </c>
      <c r="DB222" s="232" t="str">
        <f t="shared" si="52"/>
        <v>TRAYNOR</v>
      </c>
      <c r="DC222" s="232" t="str">
        <f t="shared" si="52"/>
        <v>D.U.P.</v>
      </c>
      <c r="DD222" s="233">
        <f t="shared" si="52"/>
        <v>527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127</v>
      </c>
      <c r="DD231" s="234"/>
      <c r="DE231" s="233">
        <f t="shared" ref="DE231:DF231" si="73">N31</f>
        <v>32.92</v>
      </c>
      <c r="DF231" s="233">
        <f t="shared" si="73"/>
        <v>49.360000000000028</v>
      </c>
    </row>
    <row r="232" spans="105:110" ht="15.5" x14ac:dyDescent="0.35">
      <c r="DC232" s="234" t="s">
        <v>128</v>
      </c>
      <c r="DD232" s="233">
        <f>E32</f>
        <v>10185</v>
      </c>
      <c r="DE232" s="234"/>
      <c r="DF232" s="233">
        <f t="shared" ref="DF232" si="74">O32</f>
        <v>10185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K1:L1"/>
    <mergeCell ref="H3:I3"/>
    <mergeCell ref="O4:S4"/>
    <mergeCell ref="O3:S3"/>
    <mergeCell ref="H4:I4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AL31:AQ32"/>
    <mergeCell ref="BF30:BG32"/>
    <mergeCell ref="BI30:BK31"/>
    <mergeCell ref="BX30:BY32"/>
    <mergeCell ref="AO22:AP22"/>
    <mergeCell ref="AO23:AP23"/>
    <mergeCell ref="AL28:AQ29"/>
    <mergeCell ref="AJ25:AK25"/>
    <mergeCell ref="AJ24:AK24"/>
    <mergeCell ref="AO24:AP24"/>
    <mergeCell ref="AO25:AP25"/>
    <mergeCell ref="AZ22:AZ23"/>
    <mergeCell ref="AJ22:AK22"/>
  </mergeCells>
  <phoneticPr fontId="0" type="noConversion"/>
  <conditionalFormatting sqref="V4:W4">
    <cfRule type="cellIs" dxfId="113" priority="1" stopIfTrue="1" operator="equal">
      <formula>"Totals Correct"</formula>
    </cfRule>
    <cfRule type="cellIs" dxfId="112" priority="2" stopIfTrue="1" operator="equal">
      <formula>"ERROR"</formula>
    </cfRule>
  </conditionalFormatting>
  <conditionalFormatting sqref="U4">
    <cfRule type="cellIs" dxfId="111" priority="3" stopIfTrue="1" operator="equal">
      <formula>"OK TO MOVE TO NEXT STAGE"</formula>
    </cfRule>
    <cfRule type="cellIs" dxfId="110" priority="4" stopIfTrue="1" operator="equal">
      <formula>"DO NOT MOVE TO NEXT STAGE"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paperSize="8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C2E03D-0168-49D1-BE5C-051C530EDE1D}">
  <ds:schemaRefs>
    <ds:schemaRef ds:uri="http://schemas.openxmlformats.org/package/2006/metadata/core-properties"/>
    <ds:schemaRef ds:uri="http://www.w3.org/XML/1998/namespace"/>
    <ds:schemaRef ds:uri="6416cfae-c632-4f1e-8af0-8eca54e1a19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e2d2b2c9-2875-4b92-bd0b-68db2f4f5b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7B1725-5988-467D-BFCD-83DAC7713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2023-05-19T22:11:28Z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